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<sst xmlns="http://schemas.openxmlformats.org/spreadsheetml/2006/main" count="398" uniqueCount="209">
  <si>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</si>
  <si>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</si>
  <si>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</si>
  <si>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</si>
  <si>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</si>
  <si>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</si>
  <si>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</si>
  <si>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</si>
  <si>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</si>
  <si>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</si>
  <si>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Первая очередь "Требования кредиторов о возмещение вреда жизни или здоровью путем капитализации повременных платежей"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</si>
  <si>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</si>
  <si>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</si>
  <si>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</si>
  <si>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</si>
  <si>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</si>
  <si>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</si>
  <si>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</si>
  <si>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</si>
  <si>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</si>
  <si>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</si>
  <si>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</si>
  <si>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</si>
  <si>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</si>
  <si>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</si>
  <si>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</si>
  <si>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</si>
  <si>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</si>
  <si>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</si>
  <si>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</si>
  <si>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</si>
  <si>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</si>
  <si>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</si>
  <si>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</si>
  <si>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</si>
  <si>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</si>
  <si>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</si>
  <si>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платы"</t>
  </si>
  <si>
    <t>Общества с ограниченной ответственностью "ТМТ"</t>
  </si>
  <si>
    <t>Дело №3-2Б/2017</t>
  </si>
  <si>
    <t>Дата возбуждения производства по делу:  12.01.2018</t>
  </si>
  <si>
    <t>ТОО "KSP Steel"</t>
  </si>
  <si>
    <t>Брестская таможня</t>
  </si>
  <si>
    <t>81309,73 ЕВРО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</si>
  <si>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</si>
  <si>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</si>
  <si>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</si>
  <si>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</si>
  <si>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 xml:space="preserve">   Пятая очередь "Требования о возмещении убытков, процентов, неустойки, пеней, штрафов, возникших до открытия конкурсного производства"</t>
  </si>
  <si>
    <t xml:space="preserve">   Пятая очередь "Требования по гражданско-правовым договорам"</t>
  </si>
  <si>
    <t>в экономическом суде Брестской области</t>
  </si>
  <si>
    <t>Антикризисный управляющий :  ОДО "Дребезова и партнеры"</t>
  </si>
  <si>
    <t>Управляющий ООО "ТМТ"</t>
  </si>
  <si>
    <t>ОДО "Дребезова и партнёры"</t>
  </si>
  <si>
    <t>Директор</t>
  </si>
  <si>
    <t>О.А.Дребезова</t>
  </si>
  <si>
    <t>Представительство Белгосстраха по Ляховичскому району</t>
  </si>
  <si>
    <t xml:space="preserve">Таможня "Минск-2"
</t>
  </si>
  <si>
    <t>220054, г. Минск, Национальный аэропорт "Минск"; тел/факс 219-40-10, 219-40-84; e-mail: minsk2@customs.gov.by</t>
  </si>
  <si>
    <t>Таможня "Минск-2"</t>
  </si>
  <si>
    <t>Филиал "Барановичские электрические сети" РУП "Брестэнерго"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</si>
  <si>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</si>
  <si>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</si>
  <si>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</si>
  <si>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</si>
  <si>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</si>
  <si>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</si>
  <si>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ГУПП "Ляховичское ПМС"</t>
  </si>
  <si>
    <t>225372 г.Ляховичи, ул.Трудовая 13</t>
  </si>
  <si>
    <t>BY35AKBB30126084879501300000 ЦБУ 117 филиала 802 ОАО "АСББеларусбанк", БИК АКВВВY21802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</si>
  <si>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</si>
  <si>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</si>
  <si>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</si>
  <si>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р/с BY89MTBK30120001093300063071 в ЗАО "МТБанк", г. Минск, БИК: MTBKBY22</t>
  </si>
  <si>
    <t>договор аренды нежилых помещений №6 от 31.08.2015 г.</t>
  </si>
  <si>
    <t>р/с BY27MTBK30120001093300061083 в ЗАО "МТБанк", г. Минск, БИК: MTBKBY22</t>
  </si>
  <si>
    <t>220073, г. Минск, ул. Ольшевского, 22, пом. 24, каб. 38; тел.: 2504378, факс: 2505497; e-mail: info@mwa.by</t>
  </si>
  <si>
    <t>договор аренды складского места (паллетоместа) №34 от 01.10.2015</t>
  </si>
  <si>
    <t>договор на пользование электрической энергией №1225 от 05.01.2015</t>
  </si>
  <si>
    <t>225320, г. Барановичи, ул. Пролетарская, 175; тел./факс: (0163) 41 40 03; bares@brestenergo.by</t>
  </si>
  <si>
    <t>р/с BY13BPSB30121227700169330000 в ОАО "БПС - Сбербанк", г. Барановичи, БИК BPSBBY2X</t>
  </si>
  <si>
    <t>Постановления о наложении административных взысканий от 23.11.2016 по делу №16052246-16052252, от 23.05.2017 г. по делу №17050358-17050359</t>
  </si>
  <si>
    <t xml:space="preserve"> р/с BY82BAPB30114500200210000000 в ОАО "Белаграпромбанк", г. Минск, код BAPBBY2X</t>
  </si>
  <si>
    <t>225372, г.Ляховичи, пл. Ленина, 1; тел./факс: +375 (1633) 2 28 75, +375 (1633) 2 14 87</t>
  </si>
  <si>
    <t>р/с BY12NBRB36009200000080000000, национальный банк РБ, г. Минск, код банка 153005042, БИК NBRBBY2X, код платежа 05115, назначение "Штраф по делу об АП"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</si>
  <si>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</si>
  <si>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</si>
  <si>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</si>
  <si>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договор поставки №1756/14 от 24.10.2014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</si>
  <si>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</si>
  <si>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</si>
  <si>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</si>
  <si>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</si>
  <si>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</si>
  <si>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</si>
  <si>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</si>
  <si>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</si>
  <si>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</si>
  <si>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</si>
  <si>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</si>
  <si>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</si>
  <si>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</si>
  <si>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</si>
  <si>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</si>
  <si>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</si>
  <si>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</si>
  <si>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</si>
  <si>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</si>
  <si>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</si>
  <si>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</si>
  <si>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</si>
  <si>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</si>
  <si>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</si>
  <si>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</si>
  <si>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</si>
  <si>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</si>
  <si>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</si>
  <si>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</si>
  <si>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Фил "Барановичские электрические сети" РУП "Брестэнерго"</t>
  </si>
  <si>
    <t>635 ЕВРО</t>
  </si>
  <si>
    <t>RUB(100)-3,2317            EUR - 2,558         USD -2,0698          CNY(10)- 3,2931</t>
  </si>
  <si>
    <t>11307,12 ЕВРО</t>
  </si>
  <si>
    <t>договор №133 от 06.10.2017 на вып. комплекса работ по благоустр.терр.</t>
  </si>
  <si>
    <t>договор о залоге имущества от 29.04.2016 № 5100171215Б, кредитные договора</t>
  </si>
  <si>
    <t>ИТОГО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</si>
  <si>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</si>
  <si>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</si>
  <si>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</si>
  <si>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</si>
  <si>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2 885,92 руб. и 970ЕВРО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</si>
  <si>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</si>
  <si>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</si>
  <si>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866 461,61 бел.руб.и 16,98 китайских юаней</t>
  </si>
  <si>
    <t>внесены уточнения и дополнения 30.05.2018, суд.пост. От 04.06.18 и 13.06.18</t>
  </si>
  <si>
    <t>274623,78 бел.руб. и 16,98 китайских юаней</t>
  </si>
  <si>
    <t>ОАО "Белинвестбанк"</t>
  </si>
  <si>
    <t>220002 г.Минск, пр-т Машерова 29</t>
  </si>
  <si>
    <t>ОАО "Белинвестбюанк"</t>
  </si>
  <si>
    <t>дог.тек.банк.счета №38-28-03/90843 от 25.01.13, дог.на эл.обсл.с использованием сист."Клиент-банк" №287-07/90843 от 08.10.2012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</si>
  <si>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</si>
  <si>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ОАО "БЕЛАЗ" - управляющая компания холдинга "БЕЛАЗ-ХОЛДИНГ"</t>
  </si>
  <si>
    <t>222161 г.Жодино, Минская область, 
o.polovec@belaz.minsk.by, fax+375 177532454</t>
  </si>
  <si>
    <t>BY56BPSB30121430660289330000 в ОАО "БПС-Сбербанк", BPSBBY2X</t>
  </si>
  <si>
    <t>дог.от 09.02.2016 №450-00301,ТТН1032266 от 24.03.17, ТТН1032265 от 24.03.17, ТТН1032267 от 24.03.17, акты о ненадлежащем качестве</t>
  </si>
  <si>
    <t>ООО "НаноСплав"</t>
  </si>
  <si>
    <t>224142, г. Ляховичи, ул. Трудовая, 6</t>
  </si>
  <si>
    <t>BY60ALFA30122004100130270000 в ЗАО "Альфа-Банк", SWIFT: ALFAABY2X</t>
  </si>
  <si>
    <t>дог.поставки №160301 от 01.06.2016; дог.подряда №2-05 от 02.05.2017…</t>
  </si>
  <si>
    <t>Koneckie Zaklady Odlewnicze Spolka Akcyjna /Акционерное общество "Конецке Заклады Одлевниче"</t>
  </si>
  <si>
    <t>658-00-01-047</t>
  </si>
  <si>
    <t>45113011920027611816200001 Bank Giospodarstwa Krajowego O/ Kielce</t>
  </si>
  <si>
    <t>13820,61ЕВРО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</si>
  <si>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</si>
  <si>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</si>
  <si>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</si>
  <si>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</si>
  <si>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40702978600001001614 в ЗАО "Ишбанк", ISBKRUMM</t>
  </si>
  <si>
    <t>296220,00ЕВРО и 127655,00росс.руб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</si>
  <si>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</si>
  <si>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</si>
  <si>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82680,00Евро</t>
  </si>
  <si>
    <t>ООО "ЮрСпектр"</t>
  </si>
  <si>
    <t>г.Минск, пер.Загородный 1-ый, 20, a.napreeva@urspectr.info, cons@urspectr.info</t>
  </si>
  <si>
    <t>BY53POIS30120001127801933005 в ЦБУ 17 ОАО "Приорбанк", БИК POISBY2X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</si>
  <si>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</si>
  <si>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</si>
  <si>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</si>
  <si>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</si>
  <si>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Срок санации - 20.01.2020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</si>
  <si>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</si>
  <si>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</si>
  <si>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Управление по работе с плательщиками по Ляховичскому району ИМНС РБ по Барановичскому району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</si>
  <si>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</si>
  <si>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</si>
  <si>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</si>
  <si>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ООО "РОДОНИТ"</t>
  </si>
  <si>
    <t>р/с 40702810055080119984, Северо-ападный банк ПАО "Сбербанк России", г.Санкт-Петербург, к/сч 30101810500000000653 БИК 044030653</t>
  </si>
  <si>
    <t>195067, РФ, г.Санкт-Петербург, пр.Волго-Донской, д.1, +7 911 9142020, re-spekt@mail.ru</t>
  </si>
  <si>
    <t>391206,76 Росс.руб.</t>
  </si>
  <si>
    <t>Контракт №105/13-Р от 18.10.2013, Исполнительный лист ФС №023129845, решение суда поделу №А56-107585/2017 от 22.05.2018</t>
  </si>
  <si>
    <t>р/с 3600920000008, код платежа 05115, код банка 153005042, Национальный банк Республики Беларусь, бенефициар: Минфин РБ, назначение платежа "Штраф по делам об АП"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</si>
  <si>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</si>
  <si>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</si>
  <si>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</si>
  <si>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</si>
  <si>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</si>
  <si>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</si>
  <si>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</si>
  <si>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</si>
  <si>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</si>
  <si>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</si>
  <si>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БРУСП "Белгосстрах"</t>
  </si>
  <si>
    <t>220036 г.Минск, ул.К.Либнехта, 70, perepechko@bgs.by, +375293443508</t>
  </si>
  <si>
    <t>BY04BLBB30110100122726001002 в Дирекции ОАО "белинвестбанк" по г.Минску и Минской области BLBBBY2X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</si>
  <si>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</si>
  <si>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 xml:space="preserve"> р/с BY23AKBB66708599000320000000, БИК АКВВВY2X, в ЦБУ № 510 ОАО "Беларусбанк", УНП100325912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</si>
  <si>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</si>
  <si>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</si>
  <si>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</si>
  <si>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</si>
  <si>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</si>
  <si>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</si>
  <si>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</si>
  <si>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2874,03 руб. и 1416503,88Евро</t>
  </si>
  <si>
    <t>2793,83руб. и 1416503,88Евро</t>
  </si>
  <si>
    <t>изм. от 15.01.2019 на основании вх.13, уточнения за исх.16-15/10906</t>
  </si>
  <si>
    <t>требования включены в связи с выплатой страхового возмещения, уточнения от 17.05.19</t>
  </si>
  <si>
    <t>по состоянию на 31.05.2019 года</t>
  </si>
  <si>
    <t xml:space="preserve">внесены уточн и доп 30.05.2018, суд.пост. От 04.06.18 и 13.06.18; внес изм. 19.03.2019 на осн. Приказа №78 о закр ф-ла №510 ОАО "АСБ Беларусбанк" в г. Минске от 29.01.2019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</si>
</sst>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i/>
      <sz val="6"/>
      <color indexed="8"/>
      <name val="Times New Roman"/>
      <family val="1"/>
    </font>
    <font>
      <sz val="5"/>
      <name val="Times New Roman"/>
      <family val="1"/>
    </font>
    <font>
      <b/>
      <i/>
      <sz val="5"/>
      <color indexed="8"/>
      <name val="Times New Roman"/>
      <family val="1"/>
    </font>
    <font>
      <b/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3" fontId="19" fillId="0" borderId="0" xfId="0" applyNumberFormat="1" applyFont="1" applyFill="1" applyAlignment="1">
      <alignment vertical="top"/>
    </xf>
    <xf numFmtId="172" fontId="19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wrapText="1"/>
    </xf>
    <xf numFmtId="17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" fontId="18" fillId="0" borderId="10" xfId="0" applyNumberFormat="1" applyFont="1" applyFill="1" applyBorder="1" applyAlignment="1">
      <alignment/>
    </xf>
    <xf numFmtId="174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17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1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top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right" wrapText="1"/>
    </xf>
    <xf numFmtId="14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right" wrapText="1"/>
    </xf>
    <xf numFmtId="0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0" fillId="0" borderId="14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Fill="1" applyAlignment="1">
      <alignment horizontal="left"/>
    </xf>
    <xf numFmtId="2" fontId="18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4" fillId="0" borderId="10" xfId="0" applyNumberFormat="1" applyFont="1" applyFill="1" applyBorder="1" applyAlignment="1">
      <alignment horizontal="left" wrapText="1"/>
    </xf>
    <xf numFmtId="174" fontId="24" fillId="0" borderId="10" xfId="0" applyNumberFormat="1" applyFont="1" applyFill="1" applyBorder="1" applyAlignment="1">
      <alignment horizontal="left" wrapText="1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2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 vertical="top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wrapText="1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150" zoomScaleNormal="150" zoomScalePageLayoutView="0" workbookViewId="0" topLeftCell="B10">
      <selection activeCell="I18" sqref="I18"/>
    </sheetView>
  </sheetViews>
  <sheetFormatPr defaultColWidth="9.00390625" defaultRowHeight="12.75"/>
  <cols>
    <col min="1" max="1" width="3.125" style="65" customWidth="1"/>
    <col min="2" max="2" width="13.25390625" style="65" customWidth="1"/>
    <col min="3" max="3" width="18.25390625" style="65" customWidth="1"/>
    <col min="4" max="4" width="16.25390625" style="65" customWidth="1"/>
    <col min="5" max="5" width="23.875" style="65" customWidth="1"/>
    <col min="6" max="6" width="26.875" style="65" customWidth="1"/>
    <col min="7" max="7" width="14.25390625" style="65" customWidth="1"/>
    <col min="8" max="8" width="10.00390625" style="65" customWidth="1"/>
    <col min="9" max="9" width="29.875" style="65" customWidth="1"/>
    <col min="10" max="10" width="10.25390625" style="136" customWidth="1"/>
    <col min="11" max="16384" width="9.125" style="65" customWidth="1"/>
  </cols>
  <sheetData>
    <row r="1" spans="1:9" ht="8.25">
      <c r="A1" s="62"/>
      <c r="B1" s="63"/>
      <c r="C1" s="64"/>
      <c r="D1" s="62"/>
      <c r="E1" s="62"/>
      <c r="G1" s="66"/>
      <c r="H1" s="67"/>
      <c r="I1" s="62" t="s">
        <v>39</v>
      </c>
    </row>
    <row r="2" spans="1:9" ht="11.25" customHeight="1">
      <c r="A2" s="62"/>
      <c r="B2" s="63"/>
      <c r="C2" s="64"/>
      <c r="D2" s="62"/>
      <c r="E2" s="62"/>
      <c r="G2" s="66"/>
      <c r="H2" s="67"/>
      <c r="I2" s="62" t="s">
        <v>50</v>
      </c>
    </row>
    <row r="3" spans="1:9" ht="8.25">
      <c r="A3" s="62"/>
      <c r="B3" s="63"/>
      <c r="C3" s="64"/>
      <c r="D3" s="62"/>
      <c r="E3" s="62"/>
      <c r="F3" s="62"/>
      <c r="G3" s="66"/>
      <c r="H3" s="67"/>
      <c r="I3" s="62"/>
    </row>
    <row r="4" spans="1:9" ht="9.75">
      <c r="A4" s="62"/>
      <c r="B4" s="63"/>
      <c r="C4" s="64"/>
      <c r="D4" s="187" t="s">
        <v>0</v>
      </c>
      <c r="E4" s="187"/>
      <c r="F4" s="187"/>
      <c r="G4" s="187"/>
      <c r="H4" s="187"/>
      <c r="I4" s="62"/>
    </row>
    <row r="5" spans="1:9" ht="9.75">
      <c r="A5" s="62"/>
      <c r="B5" s="63"/>
      <c r="C5" s="68"/>
      <c r="D5" s="187" t="s">
        <v>38</v>
      </c>
      <c r="E5" s="187"/>
      <c r="F5" s="187"/>
      <c r="G5" s="187"/>
      <c r="H5" s="187"/>
      <c r="I5" s="62"/>
    </row>
    <row r="6" spans="1:9" ht="9.75">
      <c r="A6" s="62"/>
      <c r="B6" s="63"/>
      <c r="C6" s="64"/>
      <c r="D6" s="187" t="s">
        <v>207</v>
      </c>
      <c r="E6" s="187"/>
      <c r="F6" s="187"/>
      <c r="G6" s="187"/>
      <c r="H6" s="187"/>
      <c r="I6" s="62"/>
    </row>
    <row r="7" spans="1:9" ht="9.75">
      <c r="A7" s="62"/>
      <c r="B7" s="183" t="s">
        <v>40</v>
      </c>
      <c r="C7" s="184"/>
      <c r="D7" s="184"/>
      <c r="E7" s="184"/>
      <c r="F7" s="184"/>
      <c r="G7" s="184"/>
      <c r="H7" s="184"/>
      <c r="I7" s="62"/>
    </row>
    <row r="8" spans="1:9" ht="9.75">
      <c r="A8" s="62"/>
      <c r="B8" s="184" t="s">
        <v>51</v>
      </c>
      <c r="C8" s="184"/>
      <c r="D8" s="184"/>
      <c r="E8" s="184"/>
      <c r="F8" s="184"/>
      <c r="G8" s="184"/>
      <c r="H8" s="184"/>
      <c r="I8" s="62"/>
    </row>
    <row r="9" spans="1:9" ht="9.75">
      <c r="A9" s="62"/>
      <c r="B9" s="183" t="s">
        <v>125</v>
      </c>
      <c r="C9" s="184"/>
      <c r="D9" s="184"/>
      <c r="E9" s="184"/>
      <c r="F9" s="184"/>
      <c r="G9" s="184"/>
      <c r="H9" s="184"/>
      <c r="I9" s="62"/>
    </row>
    <row r="10" spans="1:9" ht="9.75">
      <c r="A10" s="62"/>
      <c r="B10" s="153" t="s">
        <v>167</v>
      </c>
      <c r="C10" s="154"/>
      <c r="D10" s="154"/>
      <c r="E10" s="154"/>
      <c r="F10" s="154"/>
      <c r="G10" s="154"/>
      <c r="H10" s="154"/>
      <c r="I10" s="62"/>
    </row>
    <row r="11" spans="1:9" ht="9" customHeight="1">
      <c r="A11" s="162"/>
      <c r="B11" s="162" t="s">
        <v>168</v>
      </c>
      <c r="C11" s="162"/>
      <c r="D11" s="159"/>
      <c r="E11" s="159"/>
      <c r="F11" s="159"/>
      <c r="G11" s="160"/>
      <c r="H11" s="161"/>
      <c r="I11" s="62"/>
    </row>
    <row r="12" spans="1:9" ht="9.75">
      <c r="A12" s="62"/>
      <c r="B12" s="63"/>
      <c r="C12" s="64"/>
      <c r="D12" s="187" t="s">
        <v>1</v>
      </c>
      <c r="E12" s="187"/>
      <c r="F12" s="187"/>
      <c r="G12" s="187"/>
      <c r="H12" s="67"/>
      <c r="I12" s="62"/>
    </row>
    <row r="13" spans="1:10" ht="68.25" customHeight="1">
      <c r="A13" s="69"/>
      <c r="B13" s="70" t="s">
        <v>2</v>
      </c>
      <c r="C13" s="71" t="s">
        <v>32</v>
      </c>
      <c r="D13" s="70" t="s">
        <v>31</v>
      </c>
      <c r="E13" s="70" t="s">
        <v>3</v>
      </c>
      <c r="F13" s="70" t="s">
        <v>4</v>
      </c>
      <c r="G13" s="72" t="s">
        <v>5</v>
      </c>
      <c r="H13" s="61" t="s">
        <v>34</v>
      </c>
      <c r="I13" s="70" t="s">
        <v>33</v>
      </c>
      <c r="J13" s="137" t="s">
        <v>120</v>
      </c>
    </row>
    <row r="14" spans="1:9" ht="9.75">
      <c r="A14" s="73"/>
      <c r="B14" s="74">
        <v>1</v>
      </c>
      <c r="C14" s="75">
        <v>2</v>
      </c>
      <c r="D14" s="74">
        <v>3</v>
      </c>
      <c r="E14" s="74">
        <v>4</v>
      </c>
      <c r="F14" s="74">
        <v>5</v>
      </c>
      <c r="G14" s="76">
        <v>6</v>
      </c>
      <c r="H14" s="77">
        <v>7</v>
      </c>
      <c r="I14" s="74">
        <v>8</v>
      </c>
    </row>
    <row r="15" spans="1:10" s="85" customFormat="1" ht="24.75" customHeight="1">
      <c r="A15" s="78"/>
      <c r="B15" s="79">
        <v>1</v>
      </c>
      <c r="C15" s="80" t="s">
        <v>41</v>
      </c>
      <c r="D15" s="81"/>
      <c r="E15" s="81" t="s">
        <v>89</v>
      </c>
      <c r="F15" s="81" t="s">
        <v>170</v>
      </c>
      <c r="G15" s="82" t="s">
        <v>43</v>
      </c>
      <c r="H15" s="83">
        <f>J15*100/G52</f>
        <v>2.0648660061149915</v>
      </c>
      <c r="I15" s="84"/>
      <c r="J15" s="138">
        <f>81309.73*2.558</f>
        <v>207990.28934</v>
      </c>
    </row>
    <row r="16" spans="1:10" s="85" customFormat="1" ht="33.75" customHeight="1">
      <c r="A16" s="78"/>
      <c r="B16" s="79">
        <v>2</v>
      </c>
      <c r="C16" s="80" t="s">
        <v>44</v>
      </c>
      <c r="D16" s="81">
        <v>100633430</v>
      </c>
      <c r="E16" s="81" t="s">
        <v>196</v>
      </c>
      <c r="F16" s="81" t="s">
        <v>195</v>
      </c>
      <c r="G16" s="82" t="s">
        <v>132</v>
      </c>
      <c r="H16" s="83">
        <f>J16*100/G52</f>
        <v>8.602029815179355</v>
      </c>
      <c r="I16" s="84" t="s">
        <v>208</v>
      </c>
      <c r="J16" s="138">
        <f>16.98*0.32931+866461.61</f>
        <v>866467.2016838</v>
      </c>
    </row>
    <row r="17" spans="1:10" s="85" customFormat="1" ht="33.75" customHeight="1">
      <c r="A17" s="78"/>
      <c r="B17" s="79">
        <v>3</v>
      </c>
      <c r="C17" s="80" t="s">
        <v>42</v>
      </c>
      <c r="D17" s="81">
        <v>200216428</v>
      </c>
      <c r="E17" s="81" t="s">
        <v>85</v>
      </c>
      <c r="F17" s="81" t="s">
        <v>84</v>
      </c>
      <c r="G17" s="82">
        <v>6428.43</v>
      </c>
      <c r="H17" s="83">
        <f>G17*100/G52</f>
        <v>0.0638195495655624</v>
      </c>
      <c r="I17" s="84"/>
      <c r="J17" s="138"/>
    </row>
    <row r="18" spans="1:10" s="85" customFormat="1" ht="15.75" customHeight="1">
      <c r="A18" s="78"/>
      <c r="B18" s="79">
        <v>4</v>
      </c>
      <c r="C18" s="80" t="s">
        <v>56</v>
      </c>
      <c r="D18" s="81">
        <v>100122726</v>
      </c>
      <c r="E18" s="86" t="s">
        <v>83</v>
      </c>
      <c r="F18" s="81" t="s">
        <v>82</v>
      </c>
      <c r="G18" s="82">
        <f>256.91-F62</f>
        <v>237.24000000000004</v>
      </c>
      <c r="H18" s="83">
        <f>G18*100/G52</f>
        <v>0.0023552484726339132</v>
      </c>
      <c r="I18" s="88" t="s">
        <v>166</v>
      </c>
      <c r="J18" s="138"/>
    </row>
    <row r="19" spans="1:10" s="85" customFormat="1" ht="32.25" customHeight="1">
      <c r="A19" s="78"/>
      <c r="B19" s="79">
        <v>5</v>
      </c>
      <c r="C19" s="80" t="s">
        <v>57</v>
      </c>
      <c r="D19" s="81">
        <v>600014353</v>
      </c>
      <c r="E19" s="81" t="s">
        <v>58</v>
      </c>
      <c r="F19" s="81" t="s">
        <v>180</v>
      </c>
      <c r="G19" s="82">
        <v>10559.71</v>
      </c>
      <c r="H19" s="83">
        <f>G19*100/G52</f>
        <v>0.1048336741230697</v>
      </c>
      <c r="I19" s="84" t="s">
        <v>62</v>
      </c>
      <c r="J19" s="138"/>
    </row>
    <row r="20" spans="1:10" s="85" customFormat="1" ht="23.25" customHeight="1">
      <c r="A20" s="78"/>
      <c r="B20" s="79">
        <v>6</v>
      </c>
      <c r="C20" s="80" t="s">
        <v>60</v>
      </c>
      <c r="D20" s="81">
        <v>200050653</v>
      </c>
      <c r="E20" s="81" t="s">
        <v>79</v>
      </c>
      <c r="F20" s="81" t="s">
        <v>80</v>
      </c>
      <c r="G20" s="82">
        <v>91128.67</v>
      </c>
      <c r="H20" s="83">
        <f>G20*100/G52</f>
        <v>0.9046984523295392</v>
      </c>
      <c r="I20" s="84"/>
      <c r="J20" s="138"/>
    </row>
    <row r="21" spans="1:10" s="85" customFormat="1" ht="23.25" customHeight="1">
      <c r="A21" s="78"/>
      <c r="B21" s="79">
        <v>7</v>
      </c>
      <c r="C21" s="80" t="s">
        <v>63</v>
      </c>
      <c r="D21" s="81">
        <v>101479100</v>
      </c>
      <c r="E21" s="81" t="s">
        <v>76</v>
      </c>
      <c r="F21" s="81" t="s">
        <v>75</v>
      </c>
      <c r="G21" s="82" t="s">
        <v>119</v>
      </c>
      <c r="H21" s="83">
        <f>J21*100/G52</f>
        <v>0.01650679327031026</v>
      </c>
      <c r="I21" s="84"/>
      <c r="J21" s="138">
        <f>650*2.558</f>
        <v>1662.6999999999998</v>
      </c>
    </row>
    <row r="22" spans="1:10" s="85" customFormat="1" ht="15.75" customHeight="1">
      <c r="A22" s="78"/>
      <c r="B22" s="79">
        <v>8</v>
      </c>
      <c r="C22" s="80" t="s">
        <v>64</v>
      </c>
      <c r="D22" s="81">
        <v>192260517</v>
      </c>
      <c r="E22" s="81" t="s">
        <v>72</v>
      </c>
      <c r="F22" s="81" t="s">
        <v>73</v>
      </c>
      <c r="G22" s="82" t="s">
        <v>121</v>
      </c>
      <c r="H22" s="83">
        <f>J22*100/G52</f>
        <v>0.2871450651116778</v>
      </c>
      <c r="I22" s="84"/>
      <c r="J22" s="138">
        <f>11307.12*2.558</f>
        <v>28923.61296</v>
      </c>
    </row>
    <row r="23" spans="1:10" s="85" customFormat="1" ht="23.25" customHeight="1">
      <c r="A23" s="78"/>
      <c r="B23" s="79">
        <v>9</v>
      </c>
      <c r="C23" s="80" t="s">
        <v>65</v>
      </c>
      <c r="D23" s="81"/>
      <c r="E23" s="81" t="s">
        <v>70</v>
      </c>
      <c r="F23" s="81"/>
      <c r="G23" s="82" t="s">
        <v>66</v>
      </c>
      <c r="H23" s="83">
        <f>J23*100/G52</f>
        <v>0.28022489515071947</v>
      </c>
      <c r="I23" s="84"/>
      <c r="J23" s="138">
        <f>873427.5*0.032317</f>
        <v>28226.556517499997</v>
      </c>
    </row>
    <row r="24" spans="1:10" s="85" customFormat="1" ht="15" customHeight="1">
      <c r="A24" s="78"/>
      <c r="B24" s="79">
        <v>10</v>
      </c>
      <c r="C24" s="80" t="s">
        <v>67</v>
      </c>
      <c r="D24" s="81">
        <v>200057737</v>
      </c>
      <c r="E24" s="81" t="s">
        <v>68</v>
      </c>
      <c r="F24" s="81" t="s">
        <v>69</v>
      </c>
      <c r="G24" s="82">
        <v>728.35</v>
      </c>
      <c r="H24" s="83">
        <f>G24*100/G52</f>
        <v>0.007230843133716533</v>
      </c>
      <c r="I24" s="84"/>
      <c r="J24" s="138"/>
    </row>
    <row r="25" spans="1:10" s="85" customFormat="1" ht="9.75" customHeight="1">
      <c r="A25" s="78"/>
      <c r="B25" s="79">
        <v>11</v>
      </c>
      <c r="C25" s="80" t="s">
        <v>90</v>
      </c>
      <c r="D25" s="81"/>
      <c r="E25" s="81" t="s">
        <v>91</v>
      </c>
      <c r="F25" s="81"/>
      <c r="G25" s="82">
        <f>114.06-F63</f>
        <v>0</v>
      </c>
      <c r="H25" s="83"/>
      <c r="I25" s="88" t="s">
        <v>165</v>
      </c>
      <c r="J25" s="138"/>
    </row>
    <row r="26" spans="1:10" s="85" customFormat="1" ht="9.75" customHeight="1">
      <c r="A26" s="78"/>
      <c r="B26" s="79">
        <v>12</v>
      </c>
      <c r="C26" s="80" t="s">
        <v>92</v>
      </c>
      <c r="D26" s="81"/>
      <c r="E26" s="81" t="s">
        <v>93</v>
      </c>
      <c r="F26" s="81"/>
      <c r="G26" s="82">
        <f>821.4-F64</f>
        <v>0</v>
      </c>
      <c r="H26" s="83"/>
      <c r="I26" s="88" t="s">
        <v>165</v>
      </c>
      <c r="J26" s="138"/>
    </row>
    <row r="27" spans="1:10" s="85" customFormat="1" ht="9.75" customHeight="1">
      <c r="A27" s="78"/>
      <c r="B27" s="79">
        <v>13</v>
      </c>
      <c r="C27" s="80" t="s">
        <v>94</v>
      </c>
      <c r="D27" s="81"/>
      <c r="E27" s="81" t="s">
        <v>95</v>
      </c>
      <c r="F27" s="81"/>
      <c r="G27" s="82">
        <f>22010.6-F65</f>
        <v>0</v>
      </c>
      <c r="H27" s="83"/>
      <c r="I27" s="88" t="s">
        <v>165</v>
      </c>
      <c r="J27" s="151"/>
    </row>
    <row r="28" spans="1:10" s="85" customFormat="1" ht="9" customHeight="1">
      <c r="A28" s="78"/>
      <c r="B28" s="79">
        <v>14</v>
      </c>
      <c r="C28" s="80" t="s">
        <v>96</v>
      </c>
      <c r="D28" s="81"/>
      <c r="E28" s="81" t="s">
        <v>95</v>
      </c>
      <c r="F28" s="81"/>
      <c r="G28" s="82">
        <f>797.89-F66</f>
        <v>0</v>
      </c>
      <c r="H28" s="83"/>
      <c r="I28" s="88" t="s">
        <v>165</v>
      </c>
      <c r="J28" s="152"/>
    </row>
    <row r="29" spans="1:10" s="85" customFormat="1" ht="10.5" customHeight="1">
      <c r="A29" s="78"/>
      <c r="B29" s="79">
        <v>15</v>
      </c>
      <c r="C29" s="80" t="s">
        <v>97</v>
      </c>
      <c r="D29" s="81"/>
      <c r="E29" s="81" t="s">
        <v>103</v>
      </c>
      <c r="F29" s="81"/>
      <c r="G29" s="82">
        <f>586.77-F67</f>
        <v>0</v>
      </c>
      <c r="H29" s="83"/>
      <c r="I29" s="88" t="s">
        <v>165</v>
      </c>
      <c r="J29" s="138"/>
    </row>
    <row r="30" spans="1:10" s="85" customFormat="1" ht="9" customHeight="1">
      <c r="A30" s="78"/>
      <c r="B30" s="79">
        <v>16</v>
      </c>
      <c r="C30" s="80" t="s">
        <v>98</v>
      </c>
      <c r="D30" s="81"/>
      <c r="E30" s="81" t="s">
        <v>99</v>
      </c>
      <c r="F30" s="81"/>
      <c r="G30" s="82">
        <f>10808.17-F68</f>
        <v>0</v>
      </c>
      <c r="H30" s="83"/>
      <c r="I30" s="88" t="s">
        <v>165</v>
      </c>
      <c r="J30" s="138"/>
    </row>
    <row r="31" spans="1:10" s="85" customFormat="1" ht="9" customHeight="1">
      <c r="A31" s="78"/>
      <c r="B31" s="79">
        <v>17</v>
      </c>
      <c r="C31" s="80" t="s">
        <v>100</v>
      </c>
      <c r="D31" s="81"/>
      <c r="E31" s="81" t="s">
        <v>99</v>
      </c>
      <c r="F31" s="81"/>
      <c r="G31" s="82">
        <f>2029.75-F69</f>
        <v>0</v>
      </c>
      <c r="H31" s="83"/>
      <c r="I31" s="88" t="s">
        <v>165</v>
      </c>
      <c r="J31" s="138"/>
    </row>
    <row r="32" spans="1:10" s="85" customFormat="1" ht="8.25" customHeight="1">
      <c r="A32" s="78"/>
      <c r="B32" s="79">
        <v>18</v>
      </c>
      <c r="C32" s="80" t="s">
        <v>101</v>
      </c>
      <c r="D32" s="81"/>
      <c r="E32" s="81" t="s">
        <v>102</v>
      </c>
      <c r="F32" s="81"/>
      <c r="G32" s="82">
        <f>423.61-F70</f>
        <v>0</v>
      </c>
      <c r="H32" s="83"/>
      <c r="I32" s="88" t="s">
        <v>165</v>
      </c>
      <c r="J32" s="138"/>
    </row>
    <row r="33" spans="1:10" s="85" customFormat="1" ht="9" customHeight="1">
      <c r="A33" s="78"/>
      <c r="B33" s="79">
        <v>19</v>
      </c>
      <c r="C33" s="80" t="s">
        <v>104</v>
      </c>
      <c r="D33" s="81"/>
      <c r="E33" s="81" t="s">
        <v>105</v>
      </c>
      <c r="F33" s="81"/>
      <c r="G33" s="82">
        <f>3187.96-F71</f>
        <v>0</v>
      </c>
      <c r="H33" s="83"/>
      <c r="I33" s="88" t="s">
        <v>165</v>
      </c>
      <c r="J33" s="138"/>
    </row>
    <row r="34" spans="1:10" s="85" customFormat="1" ht="9" customHeight="1">
      <c r="A34" s="78"/>
      <c r="B34" s="79">
        <v>20</v>
      </c>
      <c r="C34" s="80" t="s">
        <v>106</v>
      </c>
      <c r="D34" s="81"/>
      <c r="E34" s="81" t="s">
        <v>105</v>
      </c>
      <c r="F34" s="81"/>
      <c r="G34" s="82">
        <f>3731.15-F72</f>
        <v>0</v>
      </c>
      <c r="H34" s="83"/>
      <c r="I34" s="88" t="s">
        <v>165</v>
      </c>
      <c r="J34" s="138"/>
    </row>
    <row r="35" spans="1:10" s="85" customFormat="1" ht="8.25" customHeight="1">
      <c r="A35" s="78"/>
      <c r="B35" s="79">
        <v>21</v>
      </c>
      <c r="C35" s="80" t="s">
        <v>107</v>
      </c>
      <c r="D35" s="81"/>
      <c r="E35" s="81" t="s">
        <v>108</v>
      </c>
      <c r="F35" s="81"/>
      <c r="G35" s="82">
        <f>462.39-F73</f>
        <v>0</v>
      </c>
      <c r="H35" s="83"/>
      <c r="I35" s="88" t="s">
        <v>165</v>
      </c>
      <c r="J35" s="138"/>
    </row>
    <row r="36" spans="1:10" s="85" customFormat="1" ht="9" customHeight="1">
      <c r="A36" s="78"/>
      <c r="B36" s="79">
        <v>22</v>
      </c>
      <c r="C36" s="80" t="s">
        <v>109</v>
      </c>
      <c r="D36" s="81"/>
      <c r="E36" s="81" t="s">
        <v>110</v>
      </c>
      <c r="F36" s="81"/>
      <c r="G36" s="82">
        <f>9926.92-F74</f>
        <v>0</v>
      </c>
      <c r="H36" s="83"/>
      <c r="I36" s="88" t="s">
        <v>165</v>
      </c>
      <c r="J36" s="138"/>
    </row>
    <row r="37" spans="1:10" s="85" customFormat="1" ht="8.25" customHeight="1">
      <c r="A37" s="78"/>
      <c r="B37" s="79">
        <v>23</v>
      </c>
      <c r="C37" s="80" t="s">
        <v>111</v>
      </c>
      <c r="D37" s="81"/>
      <c r="E37" s="81" t="s">
        <v>112</v>
      </c>
      <c r="F37" s="81"/>
      <c r="G37" s="82">
        <f>532.17-F75</f>
        <v>0</v>
      </c>
      <c r="H37" s="83"/>
      <c r="I37" s="88" t="s">
        <v>165</v>
      </c>
      <c r="J37" s="138"/>
    </row>
    <row r="38" spans="1:10" s="85" customFormat="1" ht="9" customHeight="1">
      <c r="A38" s="78"/>
      <c r="B38" s="79">
        <v>24</v>
      </c>
      <c r="C38" s="80" t="s">
        <v>113</v>
      </c>
      <c r="D38" s="81"/>
      <c r="E38" s="81" t="s">
        <v>114</v>
      </c>
      <c r="F38" s="81"/>
      <c r="G38" s="82">
        <f>436.41-F76</f>
        <v>0</v>
      </c>
      <c r="H38" s="83"/>
      <c r="I38" s="88" t="s">
        <v>165</v>
      </c>
      <c r="J38" s="138"/>
    </row>
    <row r="39" spans="1:10" s="85" customFormat="1" ht="15" customHeight="1">
      <c r="A39" s="78"/>
      <c r="B39" s="79">
        <v>25</v>
      </c>
      <c r="C39" s="80" t="s">
        <v>115</v>
      </c>
      <c r="D39" s="81"/>
      <c r="E39" s="81" t="s">
        <v>116</v>
      </c>
      <c r="F39" s="81"/>
      <c r="G39" s="82">
        <f>30.96-F77</f>
        <v>0</v>
      </c>
      <c r="H39" s="83"/>
      <c r="I39" s="88" t="s">
        <v>165</v>
      </c>
      <c r="J39" s="138"/>
    </row>
    <row r="40" spans="1:10" s="85" customFormat="1" ht="24" customHeight="1">
      <c r="A40" s="78"/>
      <c r="B40" s="79">
        <v>26</v>
      </c>
      <c r="C40" s="80" t="s">
        <v>126</v>
      </c>
      <c r="D40" s="81">
        <v>191872001</v>
      </c>
      <c r="E40" s="81" t="s">
        <v>127</v>
      </c>
      <c r="F40" s="81" t="s">
        <v>128</v>
      </c>
      <c r="G40" s="82" t="s">
        <v>129</v>
      </c>
      <c r="H40" s="83">
        <f>J40*100/G52</f>
        <v>0.05328377380438073</v>
      </c>
      <c r="I40" s="84"/>
      <c r="J40" s="138">
        <f>2885.92+970*2.558</f>
        <v>5367.18</v>
      </c>
    </row>
    <row r="41" spans="1:10" s="85" customFormat="1" ht="15" customHeight="1">
      <c r="A41" s="78"/>
      <c r="B41" s="79">
        <v>27</v>
      </c>
      <c r="C41" s="80" t="s">
        <v>135</v>
      </c>
      <c r="D41" s="81">
        <v>807000028</v>
      </c>
      <c r="E41" s="81" t="s">
        <v>136</v>
      </c>
      <c r="F41" s="81"/>
      <c r="G41" s="82" t="s">
        <v>203</v>
      </c>
      <c r="H41" s="83">
        <f>J41*100/G52</f>
        <v>36.000742847682226</v>
      </c>
      <c r="I41" s="84" t="s">
        <v>205</v>
      </c>
      <c r="J41" s="138">
        <f>2874.03+1416503.88*2.558</f>
        <v>3626290.9550399994</v>
      </c>
    </row>
    <row r="42" spans="1:10" s="85" customFormat="1" ht="24" customHeight="1">
      <c r="A42" s="78"/>
      <c r="B42" s="79">
        <v>28</v>
      </c>
      <c r="C42" s="80" t="s">
        <v>140</v>
      </c>
      <c r="D42" s="81">
        <v>600038906</v>
      </c>
      <c r="E42" s="81" t="s">
        <v>141</v>
      </c>
      <c r="F42" s="142" t="s">
        <v>142</v>
      </c>
      <c r="G42" s="82">
        <v>5286.46</v>
      </c>
      <c r="H42" s="83">
        <f>G42*100/G52</f>
        <v>0.052482409545777584</v>
      </c>
      <c r="I42" s="84"/>
      <c r="J42" s="138"/>
    </row>
    <row r="43" spans="1:10" s="85" customFormat="1" ht="15.75" customHeight="1">
      <c r="A43" s="78"/>
      <c r="B43" s="79">
        <v>29</v>
      </c>
      <c r="C43" s="80" t="s">
        <v>144</v>
      </c>
      <c r="D43" s="81">
        <v>690652729</v>
      </c>
      <c r="E43" s="81" t="s">
        <v>145</v>
      </c>
      <c r="F43" s="81" t="s">
        <v>146</v>
      </c>
      <c r="G43" s="82">
        <v>432507.85</v>
      </c>
      <c r="H43" s="83">
        <f>G43*100/G52</f>
        <v>4.293809868127961</v>
      </c>
      <c r="I43" s="84"/>
      <c r="J43" s="138"/>
    </row>
    <row r="44" spans="1:10" s="85" customFormat="1" ht="31.5" customHeight="1">
      <c r="A44" s="78"/>
      <c r="B44" s="79">
        <v>30</v>
      </c>
      <c r="C44" s="80" t="s">
        <v>148</v>
      </c>
      <c r="D44" s="143" t="s">
        <v>149</v>
      </c>
      <c r="E44" s="81" t="s">
        <v>153</v>
      </c>
      <c r="F44" s="81" t="s">
        <v>150</v>
      </c>
      <c r="G44" s="82" t="s">
        <v>151</v>
      </c>
      <c r="H44" s="83">
        <f>J44*100/G52</f>
        <v>0.35097531098397344</v>
      </c>
      <c r="I44" s="84"/>
      <c r="J44" s="138">
        <f>13820.61*2.558</f>
        <v>35353.12038</v>
      </c>
    </row>
    <row r="45" spans="1:10" s="85" customFormat="1" ht="17.25" customHeight="1">
      <c r="A45" s="78"/>
      <c r="B45" s="79">
        <v>31</v>
      </c>
      <c r="C45" s="80" t="s">
        <v>154</v>
      </c>
      <c r="D45" s="143">
        <v>7743524039</v>
      </c>
      <c r="E45" s="81" t="s">
        <v>155</v>
      </c>
      <c r="F45" s="81" t="s">
        <v>156</v>
      </c>
      <c r="G45" s="82" t="s">
        <v>157</v>
      </c>
      <c r="H45" s="83">
        <f>J45*100/G52</f>
        <v>7.563482633361915</v>
      </c>
      <c r="I45" s="84"/>
      <c r="J45" s="138">
        <f>296220*2.558+127655/100*3.2317</f>
        <v>761856.1866349999</v>
      </c>
    </row>
    <row r="46" spans="1:10" s="85" customFormat="1" ht="16.5" customHeight="1">
      <c r="A46" s="78"/>
      <c r="B46" s="79">
        <v>32</v>
      </c>
      <c r="C46" s="80" t="s">
        <v>161</v>
      </c>
      <c r="D46" s="143">
        <v>101528828</v>
      </c>
      <c r="E46" s="81" t="s">
        <v>162</v>
      </c>
      <c r="F46" s="81" t="s">
        <v>163</v>
      </c>
      <c r="G46" s="82">
        <v>486.11</v>
      </c>
      <c r="H46" s="83">
        <f>G46*100/G52</f>
        <v>0.00482595614159531</v>
      </c>
      <c r="I46" s="84"/>
      <c r="J46" s="138"/>
    </row>
    <row r="47" spans="1:10" s="85" customFormat="1" ht="16.5" customHeight="1">
      <c r="A47" s="78"/>
      <c r="B47" s="79">
        <v>33</v>
      </c>
      <c r="C47" s="80" t="s">
        <v>126</v>
      </c>
      <c r="D47" s="81">
        <v>191872001</v>
      </c>
      <c r="E47" s="81" t="s">
        <v>127</v>
      </c>
      <c r="F47" s="81" t="s">
        <v>128</v>
      </c>
      <c r="G47" s="82">
        <v>3520</v>
      </c>
      <c r="H47" s="83">
        <f>G47*100/G52</f>
        <v>0.034945517719066656</v>
      </c>
      <c r="I47" s="84"/>
      <c r="J47" s="138"/>
    </row>
    <row r="48" spans="1:10" s="85" customFormat="1" ht="24.75" customHeight="1">
      <c r="A48" s="78"/>
      <c r="B48" s="79">
        <v>34</v>
      </c>
      <c r="C48" s="80" t="s">
        <v>171</v>
      </c>
      <c r="D48" s="81"/>
      <c r="E48" s="81" t="s">
        <v>174</v>
      </c>
      <c r="F48" s="81"/>
      <c r="G48" s="82">
        <v>3417.42</v>
      </c>
      <c r="H48" s="83">
        <f>G48*100/G52</f>
        <v>0.03392713385326499</v>
      </c>
      <c r="I48" s="84"/>
      <c r="J48" s="138"/>
    </row>
    <row r="49" spans="1:10" s="85" customFormat="1" ht="18" customHeight="1">
      <c r="A49" s="78"/>
      <c r="B49" s="79">
        <v>35</v>
      </c>
      <c r="C49" s="80" t="s">
        <v>175</v>
      </c>
      <c r="D49" s="81">
        <v>7806052889</v>
      </c>
      <c r="E49" s="81" t="s">
        <v>177</v>
      </c>
      <c r="F49" s="81" t="s">
        <v>176</v>
      </c>
      <c r="G49" s="82" t="s">
        <v>182</v>
      </c>
      <c r="H49" s="83">
        <f>J49*100/G52</f>
        <v>0.12551227583657795</v>
      </c>
      <c r="I49" s="84"/>
      <c r="J49" s="138">
        <f>391206.76/100*3.2317</f>
        <v>12642.62886292</v>
      </c>
    </row>
    <row r="50" spans="1:10" s="85" customFormat="1" ht="15" customHeight="1">
      <c r="A50" s="78"/>
      <c r="B50" s="79">
        <v>36</v>
      </c>
      <c r="C50" s="80" t="s">
        <v>191</v>
      </c>
      <c r="D50" s="81">
        <v>100122726</v>
      </c>
      <c r="E50" s="81" t="s">
        <v>192</v>
      </c>
      <c r="F50" s="81" t="s">
        <v>193</v>
      </c>
      <c r="G50" s="82">
        <f>2814665.02+1126590.39</f>
        <v>3941255.41</v>
      </c>
      <c r="H50" s="83">
        <f>G50*100/G52</f>
        <v>39.12761669475066</v>
      </c>
      <c r="I50" s="84" t="s">
        <v>206</v>
      </c>
      <c r="J50" s="138"/>
    </row>
    <row r="51" spans="1:10" s="85" customFormat="1" ht="15" customHeight="1">
      <c r="A51" s="78"/>
      <c r="B51" s="79">
        <v>37</v>
      </c>
      <c r="C51" s="80" t="s">
        <v>197</v>
      </c>
      <c r="D51" s="81">
        <v>100420574</v>
      </c>
      <c r="E51" s="81" t="s">
        <v>198</v>
      </c>
      <c r="F51" s="81" t="s">
        <v>199</v>
      </c>
      <c r="G51" s="82">
        <v>2486.5</v>
      </c>
      <c r="H51" s="83">
        <f>G51*100/G52</f>
        <v>0.024685235741039556</v>
      </c>
      <c r="I51" s="84"/>
      <c r="J51" s="138"/>
    </row>
    <row r="52" spans="1:9" ht="9">
      <c r="A52" s="90"/>
      <c r="B52" s="91"/>
      <c r="C52" s="92" t="s">
        <v>8</v>
      </c>
      <c r="D52" s="93"/>
      <c r="E52" s="93"/>
      <c r="F52" s="93"/>
      <c r="G52" s="94">
        <f>J44+G43+G42+J41+J40+G39+G38+G37+G36+G35+G34+G33+G32+G31+G30+G29+G28+G27+G26+G25+G24+J23+J22+J21+G20+G19+G18+G17+J16+J15+J45+G46+G47+G48+J49+G50+G51</f>
        <v>10072822.581419218</v>
      </c>
      <c r="H52" s="95">
        <f>H46+H45+H44+H43+H42+H41+H40+J28+H24+H23+H22+H21+H20+H19+H18+H17+H16+H15+H47+H48+H49+H50+H51</f>
        <v>100.00000000000003</v>
      </c>
      <c r="I52" s="93"/>
    </row>
    <row r="53" spans="1:9" ht="9">
      <c r="A53" s="90"/>
      <c r="B53" s="96"/>
      <c r="C53" s="97"/>
      <c r="D53" s="98"/>
      <c r="E53" s="98"/>
      <c r="F53" s="98"/>
      <c r="G53" s="99"/>
      <c r="H53" s="100"/>
      <c r="I53" s="98"/>
    </row>
    <row r="54" spans="2:9" ht="9.75">
      <c r="B54" s="60"/>
      <c r="C54" s="101"/>
      <c r="D54" s="181" t="s">
        <v>9</v>
      </c>
      <c r="E54" s="181"/>
      <c r="F54" s="181"/>
      <c r="G54" s="181"/>
      <c r="H54" s="102"/>
      <c r="I54" s="103"/>
    </row>
    <row r="55" spans="2:9" ht="9.75">
      <c r="B55" s="181" t="s">
        <v>10</v>
      </c>
      <c r="C55" s="181"/>
      <c r="D55" s="181"/>
      <c r="E55" s="181"/>
      <c r="F55" s="181"/>
      <c r="G55" s="181"/>
      <c r="H55" s="181"/>
      <c r="I55" s="181"/>
    </row>
    <row r="56" spans="2:9" ht="8.25" customHeight="1">
      <c r="B56" s="104"/>
      <c r="C56" s="105"/>
      <c r="D56" s="188" t="s">
        <v>11</v>
      </c>
      <c r="E56" s="188"/>
      <c r="F56" s="188"/>
      <c r="G56" s="188"/>
      <c r="H56" s="106"/>
      <c r="I56" s="104"/>
    </row>
    <row r="57" spans="2:9" ht="7.5" customHeight="1">
      <c r="B57" s="104"/>
      <c r="C57" s="105"/>
      <c r="D57" s="104"/>
      <c r="E57" s="104"/>
      <c r="F57" s="104"/>
      <c r="G57" s="104"/>
      <c r="H57" s="106"/>
      <c r="I57" s="104"/>
    </row>
    <row r="58" spans="2:9" ht="9.75">
      <c r="B58" s="60"/>
      <c r="C58" s="101"/>
      <c r="D58" s="181" t="s">
        <v>12</v>
      </c>
      <c r="E58" s="181"/>
      <c r="F58" s="181"/>
      <c r="G58" s="181"/>
      <c r="H58" s="102"/>
      <c r="I58" s="103"/>
    </row>
    <row r="59" spans="2:9" ht="10.5" customHeight="1">
      <c r="B59" s="182" t="s">
        <v>37</v>
      </c>
      <c r="C59" s="182"/>
      <c r="D59" s="182"/>
      <c r="E59" s="182"/>
      <c r="F59" s="182"/>
      <c r="G59" s="182"/>
      <c r="H59" s="182"/>
      <c r="I59" s="182"/>
    </row>
    <row r="60" spans="1:10" s="147" customFormat="1" ht="47.25" customHeight="1">
      <c r="A60" s="144" t="s">
        <v>30</v>
      </c>
      <c r="B60" s="145" t="s">
        <v>32</v>
      </c>
      <c r="C60" s="145" t="s">
        <v>15</v>
      </c>
      <c r="D60" s="145" t="s">
        <v>16</v>
      </c>
      <c r="E60" s="145" t="s">
        <v>7</v>
      </c>
      <c r="F60" s="145" t="s">
        <v>17</v>
      </c>
      <c r="G60" s="145" t="s">
        <v>18</v>
      </c>
      <c r="H60" s="145" t="s">
        <v>35</v>
      </c>
      <c r="I60" s="145" t="s">
        <v>33</v>
      </c>
      <c r="J60" s="146"/>
    </row>
    <row r="61" spans="1:9" ht="9">
      <c r="A61" s="89"/>
      <c r="B61" s="107">
        <v>1</v>
      </c>
      <c r="C61" s="107">
        <v>2</v>
      </c>
      <c r="D61" s="107">
        <v>3</v>
      </c>
      <c r="E61" s="107">
        <v>4</v>
      </c>
      <c r="F61" s="107">
        <v>5</v>
      </c>
      <c r="G61" s="107">
        <v>6</v>
      </c>
      <c r="H61" s="107">
        <v>7</v>
      </c>
      <c r="I61" s="107">
        <v>8</v>
      </c>
    </row>
    <row r="62" spans="1:9" ht="22.5" customHeight="1">
      <c r="A62" s="108">
        <v>1</v>
      </c>
      <c r="B62" s="80" t="s">
        <v>56</v>
      </c>
      <c r="C62" s="109">
        <v>19.67</v>
      </c>
      <c r="D62" s="110">
        <v>43238</v>
      </c>
      <c r="E62" s="86" t="s">
        <v>87</v>
      </c>
      <c r="F62" s="111">
        <f>9.94+4.87+4.86</f>
        <v>19.669999999999998</v>
      </c>
      <c r="G62" s="157" t="s">
        <v>183</v>
      </c>
      <c r="H62" s="158">
        <f aca="true" t="shared" si="0" ref="H62:H77">F62*100/C62</f>
        <v>99.99999999999999</v>
      </c>
      <c r="I62" s="88" t="s">
        <v>165</v>
      </c>
    </row>
    <row r="63" spans="1:9" ht="15" customHeight="1">
      <c r="A63" s="108">
        <v>2</v>
      </c>
      <c r="B63" s="80" t="s">
        <v>90</v>
      </c>
      <c r="C63" s="82">
        <v>114.06</v>
      </c>
      <c r="D63" s="110">
        <v>43263</v>
      </c>
      <c r="E63" s="86" t="s">
        <v>117</v>
      </c>
      <c r="F63" s="156">
        <f>28.52+28.52+28.52+28.5</f>
        <v>114.06</v>
      </c>
      <c r="G63" s="157" t="s">
        <v>184</v>
      </c>
      <c r="H63" s="158">
        <f t="shared" si="0"/>
        <v>100</v>
      </c>
      <c r="I63" s="88" t="s">
        <v>165</v>
      </c>
    </row>
    <row r="64" spans="1:9" ht="15" customHeight="1">
      <c r="A64" s="108">
        <v>3</v>
      </c>
      <c r="B64" s="80" t="s">
        <v>92</v>
      </c>
      <c r="C64" s="82">
        <v>821.4</v>
      </c>
      <c r="D64" s="110">
        <v>43263</v>
      </c>
      <c r="E64" s="86" t="s">
        <v>117</v>
      </c>
      <c r="F64" s="156">
        <f>616.05+205.35</f>
        <v>821.4</v>
      </c>
      <c r="G64" s="157" t="s">
        <v>185</v>
      </c>
      <c r="H64" s="158">
        <f t="shared" si="0"/>
        <v>100</v>
      </c>
      <c r="I64" s="88" t="s">
        <v>181</v>
      </c>
    </row>
    <row r="65" spans="1:9" ht="16.5" customHeight="1">
      <c r="A65" s="108">
        <v>4</v>
      </c>
      <c r="B65" s="80" t="s">
        <v>94</v>
      </c>
      <c r="C65" s="82">
        <v>22010.6</v>
      </c>
      <c r="D65" s="110">
        <v>43263</v>
      </c>
      <c r="E65" s="86" t="s">
        <v>117</v>
      </c>
      <c r="F65" s="156">
        <f>5502.65+5502.65+5502.65+5502.65</f>
        <v>22010.6</v>
      </c>
      <c r="G65" s="157" t="s">
        <v>186</v>
      </c>
      <c r="H65" s="158">
        <f t="shared" si="0"/>
        <v>100</v>
      </c>
      <c r="I65" s="88" t="s">
        <v>165</v>
      </c>
    </row>
    <row r="66" spans="1:9" ht="15" customHeight="1">
      <c r="A66" s="108">
        <v>5</v>
      </c>
      <c r="B66" s="80" t="s">
        <v>96</v>
      </c>
      <c r="C66" s="82">
        <v>797.89</v>
      </c>
      <c r="D66" s="110">
        <v>43263</v>
      </c>
      <c r="E66" s="86" t="s">
        <v>117</v>
      </c>
      <c r="F66" s="156">
        <f>199.47+199.47+199.47+199.48</f>
        <v>797.89</v>
      </c>
      <c r="G66" s="157" t="s">
        <v>187</v>
      </c>
      <c r="H66" s="158">
        <f t="shared" si="0"/>
        <v>100</v>
      </c>
      <c r="I66" s="88" t="s">
        <v>165</v>
      </c>
    </row>
    <row r="67" spans="1:9" ht="15.75" customHeight="1">
      <c r="A67" s="108">
        <v>6</v>
      </c>
      <c r="B67" s="80" t="s">
        <v>97</v>
      </c>
      <c r="C67" s="82">
        <v>586.77</v>
      </c>
      <c r="D67" s="110">
        <v>43263</v>
      </c>
      <c r="E67" s="86" t="s">
        <v>117</v>
      </c>
      <c r="F67" s="156">
        <f>146.69+146.69+146.69+146.7</f>
        <v>586.77</v>
      </c>
      <c r="G67" s="157" t="s">
        <v>188</v>
      </c>
      <c r="H67" s="158">
        <f t="shared" si="0"/>
        <v>100</v>
      </c>
      <c r="I67" s="88" t="s">
        <v>165</v>
      </c>
    </row>
    <row r="68" spans="1:9" ht="15" customHeight="1">
      <c r="A68" s="108">
        <v>7</v>
      </c>
      <c r="B68" s="80" t="s">
        <v>98</v>
      </c>
      <c r="C68" s="82">
        <v>10808.17</v>
      </c>
      <c r="D68" s="110">
        <v>43263</v>
      </c>
      <c r="E68" s="86" t="s">
        <v>117</v>
      </c>
      <c r="F68" s="156">
        <f>2702.04+2702.04+2702.04+2702.05</f>
        <v>10808.17</v>
      </c>
      <c r="G68" s="157" t="s">
        <v>184</v>
      </c>
      <c r="H68" s="158">
        <f t="shared" si="0"/>
        <v>100</v>
      </c>
      <c r="I68" s="88" t="s">
        <v>165</v>
      </c>
    </row>
    <row r="69" spans="1:9" ht="15" customHeight="1">
      <c r="A69" s="108">
        <v>8</v>
      </c>
      <c r="B69" s="80" t="s">
        <v>100</v>
      </c>
      <c r="C69" s="82">
        <v>2029.75</v>
      </c>
      <c r="D69" s="110">
        <v>43263</v>
      </c>
      <c r="E69" s="86" t="s">
        <v>117</v>
      </c>
      <c r="F69" s="156">
        <f>507.44+507.44+507.44+507.43</f>
        <v>2029.75</v>
      </c>
      <c r="G69" s="157" t="s">
        <v>184</v>
      </c>
      <c r="H69" s="158">
        <f t="shared" si="0"/>
        <v>100</v>
      </c>
      <c r="I69" s="88" t="s">
        <v>165</v>
      </c>
    </row>
    <row r="70" spans="1:9" ht="15" customHeight="1">
      <c r="A70" s="108">
        <v>9</v>
      </c>
      <c r="B70" s="80" t="s">
        <v>101</v>
      </c>
      <c r="C70" s="82">
        <v>423.61</v>
      </c>
      <c r="D70" s="110">
        <v>43263</v>
      </c>
      <c r="E70" s="86" t="s">
        <v>117</v>
      </c>
      <c r="F70" s="156">
        <f>105.9+105.9+105.9+105.91</f>
        <v>423.61</v>
      </c>
      <c r="G70" s="157" t="s">
        <v>184</v>
      </c>
      <c r="H70" s="158">
        <f t="shared" si="0"/>
        <v>100</v>
      </c>
      <c r="I70" s="88" t="s">
        <v>165</v>
      </c>
    </row>
    <row r="71" spans="1:9" ht="15" customHeight="1">
      <c r="A71" s="108">
        <v>10</v>
      </c>
      <c r="B71" s="80" t="s">
        <v>104</v>
      </c>
      <c r="C71" s="82">
        <v>3187.96</v>
      </c>
      <c r="D71" s="110">
        <v>43263</v>
      </c>
      <c r="E71" s="86" t="s">
        <v>117</v>
      </c>
      <c r="F71" s="156">
        <f>796.99+796.99+796.99+796.99</f>
        <v>3187.96</v>
      </c>
      <c r="G71" s="157" t="s">
        <v>184</v>
      </c>
      <c r="H71" s="158">
        <f t="shared" si="0"/>
        <v>100</v>
      </c>
      <c r="I71" s="88" t="s">
        <v>165</v>
      </c>
    </row>
    <row r="72" spans="1:9" ht="15" customHeight="1">
      <c r="A72" s="108">
        <v>11</v>
      </c>
      <c r="B72" s="80" t="s">
        <v>106</v>
      </c>
      <c r="C72" s="82">
        <v>3731.15</v>
      </c>
      <c r="D72" s="110">
        <v>43263</v>
      </c>
      <c r="E72" s="86" t="s">
        <v>117</v>
      </c>
      <c r="F72" s="156">
        <f>932.79+932.79+932.79+932.78</f>
        <v>3731.1499999999996</v>
      </c>
      <c r="G72" s="157" t="s">
        <v>189</v>
      </c>
      <c r="H72" s="158">
        <f t="shared" si="0"/>
        <v>99.99999999999999</v>
      </c>
      <c r="I72" s="88" t="s">
        <v>165</v>
      </c>
    </row>
    <row r="73" spans="1:9" ht="15" customHeight="1">
      <c r="A73" s="108">
        <v>12</v>
      </c>
      <c r="B73" s="80" t="s">
        <v>107</v>
      </c>
      <c r="C73" s="82">
        <v>462.39</v>
      </c>
      <c r="D73" s="110">
        <v>43263</v>
      </c>
      <c r="E73" s="86" t="s">
        <v>117</v>
      </c>
      <c r="F73" s="156">
        <f>115.6+115.6+115.6+115.59</f>
        <v>462.39</v>
      </c>
      <c r="G73" s="157" t="s">
        <v>184</v>
      </c>
      <c r="H73" s="158">
        <f t="shared" si="0"/>
        <v>100</v>
      </c>
      <c r="I73" s="88" t="s">
        <v>165</v>
      </c>
    </row>
    <row r="74" spans="1:9" ht="15" customHeight="1">
      <c r="A74" s="108">
        <v>13</v>
      </c>
      <c r="B74" s="80" t="s">
        <v>109</v>
      </c>
      <c r="C74" s="82">
        <v>9926.92</v>
      </c>
      <c r="D74" s="110">
        <v>43263</v>
      </c>
      <c r="E74" s="86" t="s">
        <v>117</v>
      </c>
      <c r="F74" s="156">
        <f>2481.73+2481.73+2481.73+2481.73</f>
        <v>9926.92</v>
      </c>
      <c r="G74" s="157" t="s">
        <v>190</v>
      </c>
      <c r="H74" s="158">
        <f t="shared" si="0"/>
        <v>100</v>
      </c>
      <c r="I74" s="88" t="s">
        <v>165</v>
      </c>
    </row>
    <row r="75" spans="1:9" ht="15" customHeight="1">
      <c r="A75" s="108">
        <v>14</v>
      </c>
      <c r="B75" s="80" t="s">
        <v>111</v>
      </c>
      <c r="C75" s="82">
        <v>532.17</v>
      </c>
      <c r="D75" s="110">
        <v>43263</v>
      </c>
      <c r="E75" s="86" t="s">
        <v>117</v>
      </c>
      <c r="F75" s="156">
        <f>133.04+133.04+133.04+133.05</f>
        <v>532.1700000000001</v>
      </c>
      <c r="G75" s="157" t="s">
        <v>184</v>
      </c>
      <c r="H75" s="158">
        <f t="shared" si="0"/>
        <v>100.00000000000003</v>
      </c>
      <c r="I75" s="88" t="s">
        <v>165</v>
      </c>
    </row>
    <row r="76" spans="1:9" ht="15.75" customHeight="1">
      <c r="A76" s="108">
        <v>15</v>
      </c>
      <c r="B76" s="80" t="s">
        <v>113</v>
      </c>
      <c r="C76" s="82">
        <v>436.41</v>
      </c>
      <c r="D76" s="110">
        <v>43263</v>
      </c>
      <c r="E76" s="86" t="s">
        <v>117</v>
      </c>
      <c r="F76" s="156">
        <f>109.1+109.1+109.1+109.11</f>
        <v>436.40999999999997</v>
      </c>
      <c r="G76" s="157" t="s">
        <v>184</v>
      </c>
      <c r="H76" s="158">
        <f t="shared" si="0"/>
        <v>100</v>
      </c>
      <c r="I76" s="88" t="s">
        <v>165</v>
      </c>
    </row>
    <row r="77" spans="1:9" ht="18" customHeight="1">
      <c r="A77" s="108">
        <v>16</v>
      </c>
      <c r="B77" s="80" t="s">
        <v>115</v>
      </c>
      <c r="C77" s="82">
        <v>30.96</v>
      </c>
      <c r="D77" s="110">
        <v>43263</v>
      </c>
      <c r="E77" s="86" t="s">
        <v>117</v>
      </c>
      <c r="F77" s="156">
        <f>7.74+7.74+7.74+7.74</f>
        <v>30.96</v>
      </c>
      <c r="G77" s="157" t="s">
        <v>184</v>
      </c>
      <c r="H77" s="158">
        <f t="shared" si="0"/>
        <v>100</v>
      </c>
      <c r="I77" s="88" t="s">
        <v>165</v>
      </c>
    </row>
    <row r="78" spans="1:9" ht="9" customHeight="1">
      <c r="A78" s="108"/>
      <c r="B78" s="80"/>
      <c r="C78" s="109"/>
      <c r="D78" s="110"/>
      <c r="E78" s="86"/>
      <c r="F78" s="111"/>
      <c r="G78" s="112"/>
      <c r="H78" s="158"/>
      <c r="I78" s="88"/>
    </row>
    <row r="79" spans="1:9" ht="9.75" customHeight="1">
      <c r="A79" s="89"/>
      <c r="B79" s="113" t="s">
        <v>8</v>
      </c>
      <c r="C79" s="114">
        <f>SUM(C62:C77)</f>
        <v>55919.88</v>
      </c>
      <c r="D79" s="74"/>
      <c r="E79" s="74"/>
      <c r="F79" s="115">
        <f>SUM(F62:F78)</f>
        <v>55919.88</v>
      </c>
      <c r="G79" s="74"/>
      <c r="H79" s="115">
        <f>F79*100/C79</f>
        <v>100</v>
      </c>
      <c r="I79" s="74"/>
    </row>
    <row r="81" spans="4:10" s="85" customFormat="1" ht="13.5" customHeight="1">
      <c r="D81" s="181" t="s">
        <v>20</v>
      </c>
      <c r="E81" s="181"/>
      <c r="F81" s="181"/>
      <c r="G81" s="181"/>
      <c r="J81" s="138"/>
    </row>
    <row r="82" spans="3:8" ht="9.75">
      <c r="C82" s="181" t="s">
        <v>21</v>
      </c>
      <c r="D82" s="181"/>
      <c r="E82" s="181"/>
      <c r="F82" s="181"/>
      <c r="G82" s="181"/>
      <c r="H82" s="181"/>
    </row>
    <row r="83" spans="1:9" ht="9.75">
      <c r="A83" s="116"/>
      <c r="B83" s="60"/>
      <c r="D83" s="188" t="s">
        <v>11</v>
      </c>
      <c r="E83" s="188"/>
      <c r="F83" s="188"/>
      <c r="G83" s="188"/>
      <c r="I83" s="60"/>
    </row>
    <row r="84" spans="1:9" ht="9.75">
      <c r="A84" s="116"/>
      <c r="B84" s="60"/>
      <c r="D84" s="104"/>
      <c r="E84" s="104"/>
      <c r="F84" s="104"/>
      <c r="G84" s="104"/>
      <c r="I84" s="60"/>
    </row>
    <row r="85" spans="2:9" ht="12" customHeight="1">
      <c r="B85" s="104"/>
      <c r="C85" s="60"/>
      <c r="D85" s="181" t="s">
        <v>22</v>
      </c>
      <c r="E85" s="181"/>
      <c r="F85" s="181"/>
      <c r="G85" s="181"/>
      <c r="H85" s="60"/>
      <c r="I85" s="90"/>
    </row>
    <row r="86" spans="2:9" ht="9.75" customHeight="1">
      <c r="B86" s="104"/>
      <c r="C86" s="60"/>
      <c r="D86" s="181" t="s">
        <v>23</v>
      </c>
      <c r="E86" s="181"/>
      <c r="F86" s="181"/>
      <c r="G86" s="181"/>
      <c r="H86" s="60"/>
      <c r="I86" s="90"/>
    </row>
    <row r="87" spans="1:10" s="147" customFormat="1" ht="39" customHeight="1">
      <c r="A87" s="144" t="s">
        <v>30</v>
      </c>
      <c r="B87" s="145" t="s">
        <v>32</v>
      </c>
      <c r="C87" s="145" t="s">
        <v>15</v>
      </c>
      <c r="D87" s="145" t="s">
        <v>16</v>
      </c>
      <c r="E87" s="145" t="s">
        <v>7</v>
      </c>
      <c r="F87" s="145" t="s">
        <v>17</v>
      </c>
      <c r="G87" s="145" t="s">
        <v>18</v>
      </c>
      <c r="H87" s="145" t="s">
        <v>35</v>
      </c>
      <c r="I87" s="145" t="s">
        <v>33</v>
      </c>
      <c r="J87" s="146"/>
    </row>
    <row r="88" spans="1:9" ht="9">
      <c r="A88" s="89"/>
      <c r="B88" s="107">
        <v>1</v>
      </c>
      <c r="C88" s="107">
        <v>2</v>
      </c>
      <c r="D88" s="107">
        <v>3</v>
      </c>
      <c r="E88" s="107">
        <v>4</v>
      </c>
      <c r="F88" s="107">
        <v>5</v>
      </c>
      <c r="G88" s="107">
        <v>6</v>
      </c>
      <c r="H88" s="107">
        <v>7</v>
      </c>
      <c r="I88" s="107">
        <v>8</v>
      </c>
    </row>
    <row r="89" spans="1:9" ht="15.75" customHeight="1">
      <c r="A89" s="108">
        <v>1</v>
      </c>
      <c r="B89" s="80" t="s">
        <v>44</v>
      </c>
      <c r="C89" s="109">
        <v>464924.92</v>
      </c>
      <c r="D89" s="110">
        <v>43228</v>
      </c>
      <c r="E89" s="86" t="s">
        <v>123</v>
      </c>
      <c r="F89" s="111"/>
      <c r="G89" s="112"/>
      <c r="H89" s="109"/>
      <c r="I89" s="84" t="s">
        <v>133</v>
      </c>
    </row>
    <row r="90" spans="1:13" ht="40.5" customHeight="1">
      <c r="A90" s="108">
        <v>2</v>
      </c>
      <c r="B90" s="80" t="s">
        <v>137</v>
      </c>
      <c r="C90" s="109" t="s">
        <v>204</v>
      </c>
      <c r="D90" s="110">
        <v>43277</v>
      </c>
      <c r="E90" s="86" t="s">
        <v>139</v>
      </c>
      <c r="F90" s="111"/>
      <c r="G90" s="112"/>
      <c r="H90" s="109"/>
      <c r="I90" s="84" t="s">
        <v>205</v>
      </c>
      <c r="J90" s="136">
        <f>2793.83+1416503.88*2.558</f>
        <v>3626210.7550399997</v>
      </c>
      <c r="M90" s="178"/>
    </row>
    <row r="91" spans="1:9" ht="40.5" customHeight="1">
      <c r="A91" s="108">
        <v>3</v>
      </c>
      <c r="B91" s="80" t="s">
        <v>191</v>
      </c>
      <c r="C91" s="109">
        <f>2814665.02+1126590.39</f>
        <v>3941255.41</v>
      </c>
      <c r="D91" s="110">
        <v>43523</v>
      </c>
      <c r="E91" s="86" t="s">
        <v>194</v>
      </c>
      <c r="F91" s="111"/>
      <c r="G91" s="112"/>
      <c r="H91" s="109"/>
      <c r="I91" s="84" t="s">
        <v>206</v>
      </c>
    </row>
    <row r="92" spans="1:9" ht="9">
      <c r="A92" s="141"/>
      <c r="B92" s="113" t="s">
        <v>8</v>
      </c>
      <c r="C92" s="117">
        <f>C89+J90+C91</f>
        <v>8032391.085039999</v>
      </c>
      <c r="D92" s="93"/>
      <c r="E92" s="93"/>
      <c r="F92" s="93"/>
      <c r="G92" s="94"/>
      <c r="H92" s="95"/>
      <c r="I92" s="93"/>
    </row>
    <row r="93" spans="1:9" ht="8.25">
      <c r="A93" s="186"/>
      <c r="B93" s="186"/>
      <c r="C93" s="186"/>
      <c r="D93" s="186"/>
      <c r="E93" s="186"/>
      <c r="F93" s="186"/>
      <c r="G93" s="186"/>
      <c r="H93" s="186"/>
      <c r="I93" s="186"/>
    </row>
    <row r="94" spans="2:9" ht="11.25" customHeight="1">
      <c r="B94" s="182" t="s">
        <v>24</v>
      </c>
      <c r="C94" s="182"/>
      <c r="D94" s="182"/>
      <c r="E94" s="182"/>
      <c r="F94" s="182"/>
      <c r="G94" s="182"/>
      <c r="H94" s="182"/>
      <c r="I94" s="182"/>
    </row>
    <row r="95" spans="1:9" ht="11.25" customHeight="1">
      <c r="A95" s="116"/>
      <c r="B95" s="182" t="s">
        <v>49</v>
      </c>
      <c r="C95" s="182"/>
      <c r="D95" s="182"/>
      <c r="E95" s="182"/>
      <c r="F95" s="182"/>
      <c r="G95" s="182"/>
      <c r="H95" s="182"/>
      <c r="I95" s="182"/>
    </row>
    <row r="96" spans="1:10" s="147" customFormat="1" ht="43.5" customHeight="1">
      <c r="A96" s="163" t="s">
        <v>30</v>
      </c>
      <c r="B96" s="164" t="s">
        <v>32</v>
      </c>
      <c r="C96" s="164" t="s">
        <v>15</v>
      </c>
      <c r="D96" s="164" t="s">
        <v>16</v>
      </c>
      <c r="E96" s="164" t="s">
        <v>46</v>
      </c>
      <c r="F96" s="164" t="s">
        <v>17</v>
      </c>
      <c r="G96" s="164" t="s">
        <v>18</v>
      </c>
      <c r="H96" s="164" t="s">
        <v>35</v>
      </c>
      <c r="I96" s="164" t="s">
        <v>47</v>
      </c>
      <c r="J96" s="136"/>
    </row>
    <row r="97" spans="1:10" ht="13.5" customHeight="1">
      <c r="A97" s="89"/>
      <c r="B97" s="107">
        <v>1</v>
      </c>
      <c r="C97" s="107">
        <v>2</v>
      </c>
      <c r="D97" s="107">
        <v>3</v>
      </c>
      <c r="E97" s="107">
        <v>4</v>
      </c>
      <c r="F97" s="107">
        <v>5</v>
      </c>
      <c r="G97" s="107">
        <v>6</v>
      </c>
      <c r="H97" s="107">
        <v>7</v>
      </c>
      <c r="I97" s="107">
        <v>8</v>
      </c>
      <c r="J97" s="139"/>
    </row>
    <row r="98" spans="1:10" ht="10.5" customHeight="1">
      <c r="A98" s="89">
        <v>1</v>
      </c>
      <c r="B98" s="118" t="s">
        <v>41</v>
      </c>
      <c r="C98" s="119" t="s">
        <v>43</v>
      </c>
      <c r="D98" s="120">
        <v>43224</v>
      </c>
      <c r="E98" s="121" t="s">
        <v>88</v>
      </c>
      <c r="F98" s="107"/>
      <c r="G98" s="107"/>
      <c r="H98" s="107"/>
      <c r="I98" s="107"/>
      <c r="J98" s="140">
        <f>81309.73*2.558</f>
        <v>207990.28934</v>
      </c>
    </row>
    <row r="99" spans="1:10" ht="17.25" customHeight="1">
      <c r="A99" s="89">
        <v>2</v>
      </c>
      <c r="B99" s="118" t="s">
        <v>44</v>
      </c>
      <c r="C99" s="82">
        <v>126912.91</v>
      </c>
      <c r="D99" s="120">
        <v>43228</v>
      </c>
      <c r="E99" s="86" t="s">
        <v>123</v>
      </c>
      <c r="F99" s="107"/>
      <c r="G99" s="107"/>
      <c r="H99" s="107"/>
      <c r="I99" s="84" t="s">
        <v>133</v>
      </c>
      <c r="J99" s="140"/>
    </row>
    <row r="100" spans="1:10" ht="24" customHeight="1">
      <c r="A100" s="89">
        <v>3</v>
      </c>
      <c r="B100" s="118" t="s">
        <v>118</v>
      </c>
      <c r="C100" s="82">
        <v>91128.67</v>
      </c>
      <c r="D100" s="122">
        <v>43245</v>
      </c>
      <c r="E100" s="121" t="s">
        <v>78</v>
      </c>
      <c r="F100" s="107"/>
      <c r="G100" s="107"/>
      <c r="H100" s="107"/>
      <c r="I100" s="107"/>
      <c r="J100" s="140"/>
    </row>
    <row r="101" spans="1:10" ht="18" customHeight="1">
      <c r="A101" s="89">
        <v>4</v>
      </c>
      <c r="B101" s="118" t="s">
        <v>63</v>
      </c>
      <c r="C101" s="82" t="s">
        <v>119</v>
      </c>
      <c r="D101" s="122">
        <v>43259</v>
      </c>
      <c r="E101" s="121" t="s">
        <v>77</v>
      </c>
      <c r="F101" s="107"/>
      <c r="G101" s="107"/>
      <c r="H101" s="107"/>
      <c r="I101" s="107"/>
      <c r="J101" s="138">
        <f>650*2.558</f>
        <v>1662.6999999999998</v>
      </c>
    </row>
    <row r="102" spans="1:10" ht="16.5" customHeight="1">
      <c r="A102" s="89">
        <v>5</v>
      </c>
      <c r="B102" s="118" t="s">
        <v>64</v>
      </c>
      <c r="C102" s="82" t="s">
        <v>121</v>
      </c>
      <c r="D102" s="122">
        <v>43259</v>
      </c>
      <c r="E102" s="121" t="s">
        <v>74</v>
      </c>
      <c r="F102" s="107"/>
      <c r="G102" s="107"/>
      <c r="H102" s="107"/>
      <c r="I102" s="107"/>
      <c r="J102" s="138">
        <f>11307.12*2.558</f>
        <v>28923.61296</v>
      </c>
    </row>
    <row r="103" spans="1:10" ht="17.25" customHeight="1">
      <c r="A103" s="89">
        <v>6</v>
      </c>
      <c r="B103" s="118" t="s">
        <v>65</v>
      </c>
      <c r="C103" s="82" t="s">
        <v>66</v>
      </c>
      <c r="D103" s="122">
        <v>43259</v>
      </c>
      <c r="E103" s="121" t="s">
        <v>71</v>
      </c>
      <c r="F103" s="107"/>
      <c r="G103" s="107"/>
      <c r="H103" s="107"/>
      <c r="I103" s="107"/>
      <c r="J103" s="140">
        <f>873427.5*0.032317</f>
        <v>28226.556517499997</v>
      </c>
    </row>
    <row r="104" spans="1:10" ht="16.5" customHeight="1">
      <c r="A104" s="89">
        <v>7</v>
      </c>
      <c r="B104" s="118" t="s">
        <v>67</v>
      </c>
      <c r="C104" s="87">
        <v>728.35</v>
      </c>
      <c r="D104" s="122">
        <v>43262</v>
      </c>
      <c r="E104" s="121" t="s">
        <v>122</v>
      </c>
      <c r="F104" s="107"/>
      <c r="G104" s="107"/>
      <c r="H104" s="107"/>
      <c r="I104" s="107"/>
      <c r="J104" s="140"/>
    </row>
    <row r="105" spans="1:10" ht="39.75" customHeight="1">
      <c r="A105" s="89">
        <v>8</v>
      </c>
      <c r="B105" s="118" t="s">
        <v>130</v>
      </c>
      <c r="C105" s="87" t="s">
        <v>129</v>
      </c>
      <c r="D105" s="122">
        <v>43276</v>
      </c>
      <c r="E105" s="121" t="s">
        <v>131</v>
      </c>
      <c r="F105" s="107"/>
      <c r="G105" s="107"/>
      <c r="H105" s="107"/>
      <c r="I105" s="107"/>
      <c r="J105" s="140">
        <f>2885.92+970*2.558</f>
        <v>5367.18</v>
      </c>
    </row>
    <row r="106" spans="1:10" ht="24" customHeight="1">
      <c r="A106" s="89">
        <v>9</v>
      </c>
      <c r="B106" s="80" t="s">
        <v>137</v>
      </c>
      <c r="C106" s="109">
        <v>80.2</v>
      </c>
      <c r="D106" s="110">
        <v>43277</v>
      </c>
      <c r="E106" s="121" t="s">
        <v>138</v>
      </c>
      <c r="F106" s="107"/>
      <c r="G106" s="107"/>
      <c r="H106" s="107"/>
      <c r="I106" s="107"/>
      <c r="J106" s="140"/>
    </row>
    <row r="107" spans="1:10" ht="23.25" customHeight="1">
      <c r="A107" s="89">
        <v>10</v>
      </c>
      <c r="B107" s="80" t="s">
        <v>140</v>
      </c>
      <c r="C107" s="87">
        <v>5286.46</v>
      </c>
      <c r="D107" s="122">
        <v>43277</v>
      </c>
      <c r="E107" s="121" t="s">
        <v>143</v>
      </c>
      <c r="F107" s="107"/>
      <c r="G107" s="107"/>
      <c r="H107" s="107"/>
      <c r="I107" s="107"/>
      <c r="J107" s="140"/>
    </row>
    <row r="108" spans="1:10" ht="15.75" customHeight="1">
      <c r="A108" s="89">
        <v>11</v>
      </c>
      <c r="B108" s="118" t="s">
        <v>144</v>
      </c>
      <c r="C108" s="87">
        <v>432507.85</v>
      </c>
      <c r="D108" s="122">
        <v>43279</v>
      </c>
      <c r="E108" s="121" t="s">
        <v>147</v>
      </c>
      <c r="F108" s="75"/>
      <c r="G108" s="75"/>
      <c r="H108" s="75"/>
      <c r="I108" s="75"/>
      <c r="J108" s="140"/>
    </row>
    <row r="109" spans="1:10" ht="43.5" customHeight="1">
      <c r="A109" s="89">
        <v>12</v>
      </c>
      <c r="B109" s="80" t="s">
        <v>148</v>
      </c>
      <c r="C109" s="82" t="s">
        <v>151</v>
      </c>
      <c r="D109" s="122">
        <v>43285</v>
      </c>
      <c r="E109" s="121" t="s">
        <v>152</v>
      </c>
      <c r="F109" s="107"/>
      <c r="G109" s="107"/>
      <c r="H109" s="107"/>
      <c r="I109" s="107"/>
      <c r="J109" s="140">
        <f>13820.61*2.558</f>
        <v>35353.12038</v>
      </c>
    </row>
    <row r="110" spans="1:10" ht="48.75" customHeight="1">
      <c r="A110" s="89">
        <v>13</v>
      </c>
      <c r="B110" s="80" t="s">
        <v>154</v>
      </c>
      <c r="C110" s="82" t="s">
        <v>158</v>
      </c>
      <c r="D110" s="122">
        <v>43285</v>
      </c>
      <c r="E110" s="121" t="s">
        <v>159</v>
      </c>
      <c r="F110" s="107"/>
      <c r="G110" s="107"/>
      <c r="H110" s="107"/>
      <c r="I110" s="107"/>
      <c r="J110" s="140">
        <f>127655/100*3.2317+213540*2.558</f>
        <v>550360.746635</v>
      </c>
    </row>
    <row r="111" spans="1:9" ht="68.25" customHeight="1">
      <c r="A111" s="89">
        <v>14</v>
      </c>
      <c r="B111" s="150" t="s">
        <v>161</v>
      </c>
      <c r="C111" s="89">
        <v>486.11</v>
      </c>
      <c r="D111" s="148">
        <v>43298</v>
      </c>
      <c r="E111" s="149" t="s">
        <v>164</v>
      </c>
      <c r="F111" s="89"/>
      <c r="G111" s="89"/>
      <c r="H111" s="89"/>
      <c r="I111" s="89"/>
    </row>
    <row r="112" spans="1:9" ht="10.5" customHeight="1">
      <c r="A112" s="108"/>
      <c r="B112" s="123" t="s">
        <v>8</v>
      </c>
      <c r="C112" s="124">
        <f>J109+C108+C107+C106+J105+C104+J103+J102+J101+C100+C99+J98+J110+C111</f>
        <v>1515014.7558325</v>
      </c>
      <c r="D112" s="110"/>
      <c r="E112" s="86"/>
      <c r="F112" s="111"/>
      <c r="G112" s="112"/>
      <c r="H112" s="109"/>
      <c r="I112" s="88"/>
    </row>
    <row r="113" spans="1:9" ht="13.5" customHeight="1">
      <c r="A113" s="125"/>
      <c r="B113" s="126"/>
      <c r="C113" s="127"/>
      <c r="D113" s="78"/>
      <c r="E113" s="128"/>
      <c r="F113" s="129"/>
      <c r="G113" s="130"/>
      <c r="H113" s="131"/>
      <c r="I113" s="132"/>
    </row>
    <row r="114" spans="1:10" s="85" customFormat="1" ht="12.75" customHeight="1">
      <c r="A114" s="133"/>
      <c r="B114" s="185" t="s">
        <v>48</v>
      </c>
      <c r="C114" s="185"/>
      <c r="D114" s="185"/>
      <c r="E114" s="185"/>
      <c r="F114" s="185"/>
      <c r="G114" s="185"/>
      <c r="H114" s="185"/>
      <c r="I114" s="185"/>
      <c r="J114" s="138"/>
    </row>
    <row r="115" spans="1:10" s="147" customFormat="1" ht="47.25" customHeight="1">
      <c r="A115" s="163" t="s">
        <v>30</v>
      </c>
      <c r="B115" s="165" t="s">
        <v>32</v>
      </c>
      <c r="C115" s="165" t="s">
        <v>15</v>
      </c>
      <c r="D115" s="165" t="s">
        <v>16</v>
      </c>
      <c r="E115" s="165" t="s">
        <v>7</v>
      </c>
      <c r="F115" s="165" t="s">
        <v>17</v>
      </c>
      <c r="G115" s="165" t="s">
        <v>18</v>
      </c>
      <c r="H115" s="165" t="s">
        <v>35</v>
      </c>
      <c r="I115" s="165" t="s">
        <v>33</v>
      </c>
      <c r="J115" s="136"/>
    </row>
    <row r="116" spans="1:9" ht="9">
      <c r="A116" s="89"/>
      <c r="B116" s="107">
        <v>1</v>
      </c>
      <c r="C116" s="107">
        <v>2</v>
      </c>
      <c r="D116" s="107">
        <v>3</v>
      </c>
      <c r="E116" s="107">
        <v>4</v>
      </c>
      <c r="F116" s="107">
        <v>5</v>
      </c>
      <c r="G116" s="107">
        <v>6</v>
      </c>
      <c r="H116" s="107">
        <v>7</v>
      </c>
      <c r="I116" s="107">
        <v>8</v>
      </c>
    </row>
    <row r="117" spans="1:10" ht="16.5" customHeight="1">
      <c r="A117" s="89">
        <v>1</v>
      </c>
      <c r="B117" s="118" t="s">
        <v>44</v>
      </c>
      <c r="C117" s="166" t="s">
        <v>134</v>
      </c>
      <c r="D117" s="122">
        <v>43228</v>
      </c>
      <c r="E117" s="86" t="s">
        <v>123</v>
      </c>
      <c r="F117" s="107"/>
      <c r="G117" s="107"/>
      <c r="H117" s="107"/>
      <c r="I117" s="107"/>
      <c r="J117" s="136">
        <f>274623.78+16.98*0.32931</f>
        <v>274629.3716838</v>
      </c>
    </row>
    <row r="118" spans="1:9" ht="40.5" customHeight="1">
      <c r="A118" s="108">
        <v>2</v>
      </c>
      <c r="B118" s="167" t="s">
        <v>42</v>
      </c>
      <c r="C118" s="168">
        <v>6428.43</v>
      </c>
      <c r="D118" s="122">
        <v>43238</v>
      </c>
      <c r="E118" s="86" t="s">
        <v>86</v>
      </c>
      <c r="F118" s="111"/>
      <c r="G118" s="112"/>
      <c r="H118" s="109"/>
      <c r="I118" s="88"/>
    </row>
    <row r="119" spans="1:9" ht="23.25" customHeight="1">
      <c r="A119" s="108">
        <v>3</v>
      </c>
      <c r="B119" s="167" t="s">
        <v>56</v>
      </c>
      <c r="C119" s="168">
        <v>237.24</v>
      </c>
      <c r="D119" s="122">
        <v>43238</v>
      </c>
      <c r="E119" s="86" t="s">
        <v>87</v>
      </c>
      <c r="F119" s="111"/>
      <c r="G119" s="112"/>
      <c r="H119" s="109"/>
      <c r="I119" s="88"/>
    </row>
    <row r="120" spans="1:9" ht="33.75" customHeight="1">
      <c r="A120" s="89">
        <v>4</v>
      </c>
      <c r="B120" s="177" t="s">
        <v>59</v>
      </c>
      <c r="C120" s="169">
        <v>10559.71</v>
      </c>
      <c r="D120" s="170" t="s">
        <v>61</v>
      </c>
      <c r="E120" s="171" t="s">
        <v>81</v>
      </c>
      <c r="F120" s="115"/>
      <c r="G120" s="74"/>
      <c r="H120" s="115"/>
      <c r="I120" s="134" t="s">
        <v>62</v>
      </c>
    </row>
    <row r="121" spans="1:10" ht="36.75" customHeight="1">
      <c r="A121" s="89">
        <v>5</v>
      </c>
      <c r="B121" s="80" t="s">
        <v>154</v>
      </c>
      <c r="C121" s="82" t="s">
        <v>160</v>
      </c>
      <c r="D121" s="122">
        <v>43285</v>
      </c>
      <c r="E121" s="121" t="s">
        <v>159</v>
      </c>
      <c r="F121" s="115"/>
      <c r="G121" s="74"/>
      <c r="H121" s="115"/>
      <c r="I121" s="134"/>
      <c r="J121" s="136">
        <f>82680*2.558</f>
        <v>211495.43999999997</v>
      </c>
    </row>
    <row r="122" spans="1:9" ht="33" customHeight="1">
      <c r="A122" s="89">
        <v>6</v>
      </c>
      <c r="B122" s="80" t="s">
        <v>171</v>
      </c>
      <c r="C122" s="82">
        <v>3417.42</v>
      </c>
      <c r="D122" s="122" t="s">
        <v>172</v>
      </c>
      <c r="E122" s="121" t="s">
        <v>173</v>
      </c>
      <c r="F122" s="115"/>
      <c r="G122" s="74"/>
      <c r="H122" s="115"/>
      <c r="I122" s="134"/>
    </row>
    <row r="123" spans="1:9" ht="12" customHeight="1">
      <c r="A123" s="89"/>
      <c r="B123" s="172" t="s">
        <v>124</v>
      </c>
      <c r="C123" s="173">
        <f>J117+C118+C119+C120+J121+C122</f>
        <v>506767.61168379994</v>
      </c>
      <c r="D123" s="174"/>
      <c r="E123" s="171"/>
      <c r="F123" s="115"/>
      <c r="G123" s="74"/>
      <c r="H123" s="115"/>
      <c r="I123" s="134"/>
    </row>
    <row r="124" spans="2:9" ht="9.75" customHeight="1">
      <c r="B124" s="63"/>
      <c r="C124" s="64"/>
      <c r="D124" s="62"/>
      <c r="E124" s="62"/>
      <c r="F124" s="62"/>
      <c r="G124" s="66"/>
      <c r="H124" s="67"/>
      <c r="I124" s="62"/>
    </row>
    <row r="125" spans="2:9" ht="14.25" customHeight="1">
      <c r="B125" s="155"/>
      <c r="C125" s="155"/>
      <c r="D125" s="185" t="s">
        <v>27</v>
      </c>
      <c r="E125" s="185"/>
      <c r="F125" s="185"/>
      <c r="G125" s="185"/>
      <c r="H125" s="155"/>
      <c r="I125" s="155"/>
    </row>
    <row r="126" spans="1:9" ht="13.5" customHeight="1">
      <c r="A126" s="163" t="s">
        <v>30</v>
      </c>
      <c r="B126" s="164" t="s">
        <v>32</v>
      </c>
      <c r="C126" s="164" t="s">
        <v>15</v>
      </c>
      <c r="D126" s="164" t="s">
        <v>16</v>
      </c>
      <c r="E126" s="164" t="s">
        <v>46</v>
      </c>
      <c r="F126" s="164" t="s">
        <v>17</v>
      </c>
      <c r="G126" s="164" t="s">
        <v>18</v>
      </c>
      <c r="H126" s="164" t="s">
        <v>35</v>
      </c>
      <c r="I126" s="164" t="s">
        <v>47</v>
      </c>
    </row>
    <row r="127" spans="1:9" ht="13.5" customHeight="1">
      <c r="A127" s="89"/>
      <c r="B127" s="107">
        <v>1</v>
      </c>
      <c r="C127" s="107">
        <v>2</v>
      </c>
      <c r="D127" s="107">
        <v>3</v>
      </c>
      <c r="E127" s="107">
        <v>4</v>
      </c>
      <c r="F127" s="107">
        <v>5</v>
      </c>
      <c r="G127" s="107">
        <v>6</v>
      </c>
      <c r="H127" s="107">
        <v>7</v>
      </c>
      <c r="I127" s="107">
        <v>8</v>
      </c>
    </row>
    <row r="128" spans="1:9" ht="48.75" customHeight="1">
      <c r="A128" s="89">
        <v>1</v>
      </c>
      <c r="B128" s="80" t="s">
        <v>126</v>
      </c>
      <c r="C128" s="175">
        <v>3520</v>
      </c>
      <c r="D128" s="157">
        <v>43382</v>
      </c>
      <c r="E128" s="121" t="s">
        <v>169</v>
      </c>
      <c r="F128" s="107"/>
      <c r="G128" s="107"/>
      <c r="H128" s="107"/>
      <c r="I128" s="107"/>
    </row>
    <row r="129" spans="1:10" ht="34.5" customHeight="1">
      <c r="A129" s="89">
        <v>2</v>
      </c>
      <c r="B129" s="80" t="s">
        <v>175</v>
      </c>
      <c r="C129" s="175" t="s">
        <v>178</v>
      </c>
      <c r="D129" s="176">
        <v>43397</v>
      </c>
      <c r="E129" s="121" t="s">
        <v>179</v>
      </c>
      <c r="F129" s="107"/>
      <c r="G129" s="107"/>
      <c r="H129" s="107"/>
      <c r="I129" s="107"/>
      <c r="J129" s="136">
        <f>391206.76/100*3.2317</f>
        <v>12642.62886292</v>
      </c>
    </row>
    <row r="130" spans="1:9" ht="13.5" customHeight="1">
      <c r="A130" s="89"/>
      <c r="B130" s="74"/>
      <c r="C130" s="115">
        <f>SUM(C128)+J129</f>
        <v>16162.62886292</v>
      </c>
      <c r="D130" s="74"/>
      <c r="E130" s="74"/>
      <c r="F130" s="74"/>
      <c r="G130" s="74"/>
      <c r="H130" s="74"/>
      <c r="I130" s="74"/>
    </row>
    <row r="131" spans="2:9" ht="13.5" customHeight="1">
      <c r="B131" s="155"/>
      <c r="C131" s="155"/>
      <c r="D131" s="155"/>
      <c r="E131" s="155"/>
      <c r="F131" s="155"/>
      <c r="G131" s="155"/>
      <c r="H131" s="155"/>
      <c r="I131" s="155"/>
    </row>
    <row r="132" spans="2:9" ht="13.5" customHeight="1">
      <c r="B132" s="187" t="s">
        <v>28</v>
      </c>
      <c r="C132" s="187"/>
      <c r="D132" s="187"/>
      <c r="E132" s="187"/>
      <c r="F132" s="187"/>
      <c r="G132" s="187"/>
      <c r="H132" s="187"/>
      <c r="I132" s="187"/>
    </row>
    <row r="133" spans="1:9" ht="13.5" customHeight="1">
      <c r="A133" s="163" t="s">
        <v>30</v>
      </c>
      <c r="B133" s="164" t="s">
        <v>32</v>
      </c>
      <c r="C133" s="164" t="s">
        <v>15</v>
      </c>
      <c r="D133" s="164" t="s">
        <v>16</v>
      </c>
      <c r="E133" s="164" t="s">
        <v>46</v>
      </c>
      <c r="F133" s="164" t="s">
        <v>17</v>
      </c>
      <c r="G133" s="164" t="s">
        <v>18</v>
      </c>
      <c r="H133" s="164" t="s">
        <v>35</v>
      </c>
      <c r="I133" s="164" t="s">
        <v>47</v>
      </c>
    </row>
    <row r="134" spans="1:9" ht="13.5" customHeight="1">
      <c r="A134" s="89"/>
      <c r="B134" s="107">
        <v>1</v>
      </c>
      <c r="C134" s="107">
        <v>2</v>
      </c>
      <c r="D134" s="107">
        <v>3</v>
      </c>
      <c r="E134" s="107">
        <v>4</v>
      </c>
      <c r="F134" s="107">
        <v>5</v>
      </c>
      <c r="G134" s="107">
        <v>6</v>
      </c>
      <c r="H134" s="107">
        <v>7</v>
      </c>
      <c r="I134" s="107">
        <v>8</v>
      </c>
    </row>
    <row r="135" spans="1:9" ht="41.25">
      <c r="A135" s="89">
        <v>1</v>
      </c>
      <c r="B135" s="80" t="s">
        <v>200</v>
      </c>
      <c r="C135" s="175">
        <v>2486.5</v>
      </c>
      <c r="D135" s="176" t="s">
        <v>201</v>
      </c>
      <c r="E135" s="121" t="s">
        <v>202</v>
      </c>
      <c r="F135" s="107"/>
      <c r="G135" s="107"/>
      <c r="H135" s="107"/>
      <c r="I135" s="107"/>
    </row>
    <row r="136" spans="1:9" ht="9">
      <c r="A136" s="89"/>
      <c r="B136" s="80"/>
      <c r="C136" s="175"/>
      <c r="D136" s="157"/>
      <c r="E136" s="121"/>
      <c r="F136" s="107"/>
      <c r="G136" s="107"/>
      <c r="H136" s="107"/>
      <c r="I136" s="107"/>
    </row>
    <row r="137" spans="1:9" ht="9.75">
      <c r="A137" s="89"/>
      <c r="B137" s="80"/>
      <c r="C137" s="180">
        <f>SUM(C135:C136)</f>
        <v>2486.5</v>
      </c>
      <c r="D137" s="157"/>
      <c r="E137" s="121"/>
      <c r="F137" s="107"/>
      <c r="G137" s="107"/>
      <c r="H137" s="107"/>
      <c r="I137" s="107"/>
    </row>
    <row r="138" spans="4:7" ht="8.25">
      <c r="D138" s="135"/>
      <c r="E138" s="135"/>
      <c r="F138" s="135"/>
      <c r="G138" s="135"/>
    </row>
    <row r="139" spans="4:6" ht="8.25">
      <c r="D139" s="135"/>
      <c r="E139" s="135"/>
      <c r="F139" s="135"/>
    </row>
    <row r="140" spans="2:9" ht="9.75">
      <c r="B140" s="60"/>
      <c r="C140" s="101"/>
      <c r="D140" s="181" t="s">
        <v>36</v>
      </c>
      <c r="E140" s="181"/>
      <c r="F140" s="181"/>
      <c r="G140" s="181"/>
      <c r="H140" s="102"/>
      <c r="I140" s="103"/>
    </row>
    <row r="141" spans="2:9" ht="21" customHeight="1">
      <c r="B141" s="182" t="s">
        <v>45</v>
      </c>
      <c r="C141" s="182"/>
      <c r="D141" s="182"/>
      <c r="E141" s="182"/>
      <c r="F141" s="182"/>
      <c r="G141" s="182"/>
      <c r="H141" s="182"/>
      <c r="I141" s="182"/>
    </row>
    <row r="142" spans="2:9" ht="10.5" customHeight="1">
      <c r="B142" s="60"/>
      <c r="C142" s="60"/>
      <c r="D142" s="188" t="s">
        <v>11</v>
      </c>
      <c r="E142" s="188"/>
      <c r="F142" s="188"/>
      <c r="G142" s="188"/>
      <c r="H142" s="60"/>
      <c r="I142" s="60"/>
    </row>
    <row r="143" ht="11.25" customHeight="1"/>
    <row r="144" ht="11.25" customHeight="1"/>
    <row r="145" ht="8.25">
      <c r="C145" s="65" t="s">
        <v>52</v>
      </c>
    </row>
    <row r="146" ht="8.25">
      <c r="C146" s="65" t="s">
        <v>53</v>
      </c>
    </row>
    <row r="147" spans="3:6" ht="8.25">
      <c r="C147" s="65" t="s">
        <v>54</v>
      </c>
      <c r="F147" s="65" t="s">
        <v>55</v>
      </c>
    </row>
    <row r="149" ht="8.25">
      <c r="N149" s="179"/>
    </row>
  </sheetData>
  <sheetProtection/>
  <mergeCells count="26">
    <mergeCell ref="D142:G142"/>
    <mergeCell ref="C82:H82"/>
    <mergeCell ref="B94:I94"/>
    <mergeCell ref="D140:G140"/>
    <mergeCell ref="B141:I141"/>
    <mergeCell ref="D83:G83"/>
    <mergeCell ref="B132:I132"/>
    <mergeCell ref="D125:G125"/>
    <mergeCell ref="D4:H4"/>
    <mergeCell ref="D5:H5"/>
    <mergeCell ref="D6:H6"/>
    <mergeCell ref="B9:H9"/>
    <mergeCell ref="D12:G12"/>
    <mergeCell ref="D58:G58"/>
    <mergeCell ref="B8:H8"/>
    <mergeCell ref="D56:G56"/>
    <mergeCell ref="D81:G81"/>
    <mergeCell ref="B59:I59"/>
    <mergeCell ref="B7:H7"/>
    <mergeCell ref="B114:I114"/>
    <mergeCell ref="A93:I93"/>
    <mergeCell ref="B95:I95"/>
    <mergeCell ref="D85:G85"/>
    <mergeCell ref="D86:G86"/>
    <mergeCell ref="D54:G54"/>
    <mergeCell ref="B55:I55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189" t="s">
        <v>12</v>
      </c>
      <c r="E1" s="189"/>
      <c r="F1" s="189"/>
      <c r="G1" s="189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91" t="s">
        <v>13</v>
      </c>
      <c r="C3" s="191"/>
      <c r="D3" s="191"/>
      <c r="E3" s="191"/>
      <c r="F3" s="191"/>
      <c r="G3" s="191"/>
      <c r="H3" s="191"/>
      <c r="I3" s="191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189" t="s">
        <v>20</v>
      </c>
      <c r="E12" s="189"/>
      <c r="F12" s="189"/>
      <c r="G12" s="189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189" t="s">
        <v>21</v>
      </c>
      <c r="D14" s="189"/>
      <c r="E14" s="189"/>
      <c r="F14" s="189"/>
      <c r="G14" s="189"/>
      <c r="H14" s="189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14</v>
      </c>
      <c r="C16" s="7" t="s">
        <v>15</v>
      </c>
      <c r="D16" s="7" t="s">
        <v>16</v>
      </c>
      <c r="E16" s="7" t="s">
        <v>7</v>
      </c>
      <c r="F16" s="7" t="s">
        <v>17</v>
      </c>
      <c r="G16" s="7" t="s">
        <v>18</v>
      </c>
      <c r="H16" s="7" t="s">
        <v>19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189" t="s">
        <v>22</v>
      </c>
      <c r="E21" s="189"/>
      <c r="F21" s="189"/>
      <c r="G21" s="189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189" t="s">
        <v>23</v>
      </c>
      <c r="E23" s="189"/>
      <c r="F23" s="189"/>
      <c r="G23" s="189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190" t="s">
        <v>11</v>
      </c>
      <c r="E25" s="190"/>
      <c r="F25" s="190"/>
      <c r="G25" s="190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189" t="s">
        <v>24</v>
      </c>
      <c r="E1" s="189"/>
      <c r="F1" s="189"/>
      <c r="G1" s="189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89" t="s">
        <v>25</v>
      </c>
      <c r="C3" s="189"/>
      <c r="D3" s="189"/>
      <c r="E3" s="189"/>
      <c r="F3" s="189"/>
      <c r="G3" s="189"/>
      <c r="H3" s="189"/>
      <c r="I3" s="189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189" t="s">
        <v>26</v>
      </c>
      <c r="C17" s="189"/>
      <c r="D17" s="189"/>
      <c r="E17" s="189"/>
      <c r="F17" s="189"/>
      <c r="G17" s="189"/>
      <c r="H17" s="189"/>
      <c r="I17" s="189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189" t="s">
        <v>27</v>
      </c>
      <c r="C22" s="189"/>
      <c r="D22" s="189"/>
      <c r="E22" s="189"/>
      <c r="F22" s="189"/>
      <c r="G22" s="189"/>
      <c r="H22" s="189"/>
      <c r="I22" s="189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190" t="s">
        <v>11</v>
      </c>
      <c r="E24" s="190"/>
      <c r="F24" s="190"/>
      <c r="G24" s="190"/>
      <c r="H24" s="52"/>
      <c r="I24" s="3"/>
    </row>
    <row r="25" spans="2:9" ht="12.75">
      <c r="B25" s="181" t="s">
        <v>28</v>
      </c>
      <c r="C25" s="181"/>
      <c r="D25" s="181"/>
      <c r="E25" s="181"/>
      <c r="F25" s="181"/>
      <c r="G25" s="181"/>
      <c r="H25" s="181"/>
      <c r="I25" s="181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190" t="s">
        <v>29</v>
      </c>
      <c r="E27" s="190"/>
      <c r="F27" s="190"/>
      <c r="G27" s="190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2019-04-24T11:24:09Z</cp:lastPrinted>
  <dcterms:created xsi:type="dcterms:W3CDTF">2013-10-01T09:14:21Z</dcterms:created>
  <dcterms:modified xsi:type="dcterms:W3CDTF">2019-06-25T09:28:10Z</dcterms:modified>
  <cp:category/>
  <cp:version/>
  <cp:contentType/>
  <cp:contentStatus/>
</cp:coreProperties>
</file>